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d0378192bb8a7d3/Documents/3 - Mun/Business Plan/"/>
    </mc:Choice>
  </mc:AlternateContent>
  <xr:revisionPtr revIDLastSave="0" documentId="8_{18C0DA4F-8E6C-4FFE-8942-B00CA3AA1860}" xr6:coauthVersionLast="47" xr6:coauthVersionMax="47" xr10:uidLastSave="{00000000-0000-0000-0000-000000000000}"/>
  <bookViews>
    <workbookView xWindow="28680" yWindow="-120" windowWidth="29040" windowHeight="15720" activeTab="1" xr2:uid="{910CB9ED-047A-4954-A0D8-E28CFC04E904}"/>
  </bookViews>
  <sheets>
    <sheet name="Proforma" sheetId="2" r:id="rId1"/>
    <sheet name="CF1-$100k BB" sheetId="3" r:id="rId2"/>
    <sheet name="CF1-$30k BB" sheetId="4" r:id="rId3"/>
    <sheet name="CF1-$0k BB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0" i="5" l="1"/>
  <c r="M94" i="5"/>
  <c r="L94" i="5"/>
  <c r="K94" i="5"/>
  <c r="J94" i="5"/>
  <c r="I94" i="5"/>
  <c r="H94" i="5"/>
  <c r="G94" i="5"/>
  <c r="F94" i="5"/>
  <c r="E94" i="5"/>
  <c r="D94" i="5"/>
  <c r="C94" i="5"/>
  <c r="B94" i="5"/>
  <c r="M93" i="5"/>
  <c r="L93" i="5"/>
  <c r="K93" i="5"/>
  <c r="J93" i="5"/>
  <c r="I93" i="5"/>
  <c r="H93" i="5"/>
  <c r="G93" i="5"/>
  <c r="F93" i="5"/>
  <c r="E93" i="5"/>
  <c r="D93" i="5"/>
  <c r="C93" i="5"/>
  <c r="B93" i="5"/>
  <c r="M92" i="5"/>
  <c r="L92" i="5"/>
  <c r="K92" i="5"/>
  <c r="J92" i="5"/>
  <c r="I92" i="5"/>
  <c r="H92" i="5"/>
  <c r="G92" i="5"/>
  <c r="F92" i="5"/>
  <c r="E92" i="5"/>
  <c r="D92" i="5"/>
  <c r="C92" i="5"/>
  <c r="B92" i="5"/>
  <c r="M91" i="5"/>
  <c r="L91" i="5"/>
  <c r="K91" i="5"/>
  <c r="J91" i="5"/>
  <c r="I91" i="5"/>
  <c r="H91" i="5"/>
  <c r="G91" i="5"/>
  <c r="F91" i="5"/>
  <c r="E91" i="5"/>
  <c r="D91" i="5"/>
  <c r="C91" i="5"/>
  <c r="B91" i="5"/>
  <c r="M89" i="5"/>
  <c r="L89" i="5"/>
  <c r="K89" i="5"/>
  <c r="J89" i="5"/>
  <c r="I89" i="5"/>
  <c r="H89" i="5"/>
  <c r="G89" i="5"/>
  <c r="F89" i="5"/>
  <c r="E89" i="5"/>
  <c r="D89" i="5"/>
  <c r="C89" i="5"/>
  <c r="B89" i="5"/>
  <c r="M87" i="5"/>
  <c r="L87" i="5"/>
  <c r="K87" i="5"/>
  <c r="J87" i="5"/>
  <c r="I87" i="5"/>
  <c r="H87" i="5"/>
  <c r="G87" i="5"/>
  <c r="F87" i="5"/>
  <c r="E87" i="5"/>
  <c r="D87" i="5"/>
  <c r="C87" i="5"/>
  <c r="B87" i="5"/>
  <c r="M86" i="5"/>
  <c r="L86" i="5"/>
  <c r="K86" i="5"/>
  <c r="J86" i="5"/>
  <c r="I86" i="5"/>
  <c r="H86" i="5"/>
  <c r="G86" i="5"/>
  <c r="F86" i="5"/>
  <c r="E86" i="5"/>
  <c r="D86" i="5"/>
  <c r="C86" i="5"/>
  <c r="B86" i="5"/>
  <c r="M85" i="5"/>
  <c r="L85" i="5"/>
  <c r="K85" i="5"/>
  <c r="J85" i="5"/>
  <c r="I85" i="5"/>
  <c r="H85" i="5"/>
  <c r="G85" i="5"/>
  <c r="F85" i="5"/>
  <c r="E85" i="5"/>
  <c r="D85" i="5"/>
  <c r="C85" i="5"/>
  <c r="B85" i="5"/>
  <c r="M83" i="5"/>
  <c r="L83" i="5"/>
  <c r="K83" i="5"/>
  <c r="J83" i="5"/>
  <c r="I83" i="5"/>
  <c r="H83" i="5"/>
  <c r="G83" i="5"/>
  <c r="F83" i="5"/>
  <c r="E83" i="5"/>
  <c r="D83" i="5"/>
  <c r="C83" i="5"/>
  <c r="B83" i="5"/>
  <c r="M82" i="5"/>
  <c r="L82" i="5"/>
  <c r="K82" i="5"/>
  <c r="J82" i="5"/>
  <c r="I82" i="5"/>
  <c r="H82" i="5"/>
  <c r="G82" i="5"/>
  <c r="F82" i="5"/>
  <c r="E82" i="5"/>
  <c r="D82" i="5"/>
  <c r="C82" i="5"/>
  <c r="B82" i="5"/>
  <c r="M81" i="5"/>
  <c r="L81" i="5"/>
  <c r="K81" i="5"/>
  <c r="J81" i="5"/>
  <c r="I81" i="5"/>
  <c r="H81" i="5"/>
  <c r="G81" i="5"/>
  <c r="F81" i="5"/>
  <c r="E81" i="5"/>
  <c r="D81" i="5"/>
  <c r="C81" i="5"/>
  <c r="B81" i="5"/>
  <c r="M80" i="5"/>
  <c r="L80" i="5"/>
  <c r="K80" i="5"/>
  <c r="J80" i="5"/>
  <c r="I80" i="5"/>
  <c r="H80" i="5"/>
  <c r="G80" i="5"/>
  <c r="F80" i="5"/>
  <c r="E80" i="5"/>
  <c r="D80" i="5"/>
  <c r="C80" i="5"/>
  <c r="B80" i="5"/>
  <c r="M79" i="5"/>
  <c r="L79" i="5"/>
  <c r="K79" i="5"/>
  <c r="J79" i="5"/>
  <c r="I79" i="5"/>
  <c r="H79" i="5"/>
  <c r="G79" i="5"/>
  <c r="F79" i="5"/>
  <c r="E79" i="5"/>
  <c r="D79" i="5"/>
  <c r="C79" i="5"/>
  <c r="B79" i="5"/>
  <c r="M78" i="5"/>
  <c r="L78" i="5"/>
  <c r="K78" i="5"/>
  <c r="J78" i="5"/>
  <c r="I78" i="5"/>
  <c r="H78" i="5"/>
  <c r="G78" i="5"/>
  <c r="F78" i="5"/>
  <c r="E78" i="5"/>
  <c r="D78" i="5"/>
  <c r="C78" i="5"/>
  <c r="B78" i="5"/>
  <c r="M77" i="5"/>
  <c r="L77" i="5"/>
  <c r="K77" i="5"/>
  <c r="J77" i="5"/>
  <c r="I77" i="5"/>
  <c r="H77" i="5"/>
  <c r="G77" i="5"/>
  <c r="F77" i="5"/>
  <c r="E77" i="5"/>
  <c r="D77" i="5"/>
  <c r="C77" i="5"/>
  <c r="B77" i="5"/>
  <c r="M74" i="5"/>
  <c r="L74" i="5"/>
  <c r="K74" i="5"/>
  <c r="J74" i="5"/>
  <c r="I74" i="5"/>
  <c r="H74" i="5"/>
  <c r="G74" i="5"/>
  <c r="F74" i="5"/>
  <c r="E74" i="5"/>
  <c r="D74" i="5"/>
  <c r="C74" i="5"/>
  <c r="B74" i="5"/>
  <c r="M73" i="5"/>
  <c r="L73" i="5"/>
  <c r="K73" i="5"/>
  <c r="J73" i="5"/>
  <c r="I73" i="5"/>
  <c r="H73" i="5"/>
  <c r="G73" i="5"/>
  <c r="F73" i="5"/>
  <c r="E73" i="5"/>
  <c r="D73" i="5"/>
  <c r="C73" i="5"/>
  <c r="B73" i="5"/>
  <c r="M70" i="5"/>
  <c r="L70" i="5"/>
  <c r="K70" i="5"/>
  <c r="J70" i="5"/>
  <c r="I70" i="5"/>
  <c r="H70" i="5"/>
  <c r="G70" i="5"/>
  <c r="F70" i="5"/>
  <c r="E70" i="5"/>
  <c r="D70" i="5"/>
  <c r="C70" i="5"/>
  <c r="B70" i="5"/>
  <c r="M69" i="5"/>
  <c r="L69" i="5"/>
  <c r="K69" i="5"/>
  <c r="J69" i="5"/>
  <c r="I69" i="5"/>
  <c r="H69" i="5"/>
  <c r="G69" i="5"/>
  <c r="F69" i="5"/>
  <c r="E69" i="5"/>
  <c r="D69" i="5"/>
  <c r="C69" i="5"/>
  <c r="B69" i="5"/>
  <c r="P65" i="5"/>
  <c r="D65" i="5" s="1"/>
  <c r="J65" i="5"/>
  <c r="J66" i="5" s="1"/>
  <c r="I65" i="5"/>
  <c r="H65" i="5"/>
  <c r="H66" i="5" s="1"/>
  <c r="G65" i="5"/>
  <c r="E65" i="5"/>
  <c r="B65" i="5"/>
  <c r="B66" i="5" s="1"/>
  <c r="P63" i="5"/>
  <c r="E63" i="5" s="1"/>
  <c r="K63" i="5"/>
  <c r="J63" i="5"/>
  <c r="I63" i="5"/>
  <c r="I66" i="5" s="1"/>
  <c r="H63" i="5"/>
  <c r="F63" i="5"/>
  <c r="C63" i="5"/>
  <c r="B63" i="5"/>
  <c r="M61" i="5"/>
  <c r="L61" i="5"/>
  <c r="K61" i="5"/>
  <c r="J61" i="5"/>
  <c r="I61" i="5"/>
  <c r="H61" i="5"/>
  <c r="G61" i="5"/>
  <c r="F61" i="5"/>
  <c r="E61" i="5"/>
  <c r="D61" i="5"/>
  <c r="C61" i="5"/>
  <c r="B61" i="5"/>
  <c r="P42" i="5"/>
  <c r="P55" i="5" s="1"/>
  <c r="M42" i="5"/>
  <c r="M55" i="5" s="1"/>
  <c r="B42" i="5"/>
  <c r="B55" i="5" s="1"/>
  <c r="P41" i="5"/>
  <c r="P54" i="5" s="1"/>
  <c r="C41" i="5"/>
  <c r="C54" i="5" s="1"/>
  <c r="B41" i="5"/>
  <c r="B54" i="5" s="1"/>
  <c r="F40" i="5"/>
  <c r="C40" i="5"/>
  <c r="C53" i="5" s="1"/>
  <c r="P39" i="5"/>
  <c r="P40" i="5" s="1"/>
  <c r="M39" i="5"/>
  <c r="M40" i="5" s="1"/>
  <c r="L39" i="5"/>
  <c r="L41" i="5" s="1"/>
  <c r="L54" i="5" s="1"/>
  <c r="K39" i="5"/>
  <c r="K42" i="5" s="1"/>
  <c r="K55" i="5" s="1"/>
  <c r="J39" i="5"/>
  <c r="J42" i="5" s="1"/>
  <c r="J55" i="5" s="1"/>
  <c r="I39" i="5"/>
  <c r="I42" i="5" s="1"/>
  <c r="I55" i="5" s="1"/>
  <c r="H39" i="5"/>
  <c r="H42" i="5" s="1"/>
  <c r="H55" i="5" s="1"/>
  <c r="G39" i="5"/>
  <c r="G42" i="5" s="1"/>
  <c r="G55" i="5" s="1"/>
  <c r="F39" i="5"/>
  <c r="F42" i="5" s="1"/>
  <c r="F55" i="5" s="1"/>
  <c r="E39" i="5"/>
  <c r="E41" i="5" s="1"/>
  <c r="E54" i="5" s="1"/>
  <c r="D39" i="5"/>
  <c r="D42" i="5" s="1"/>
  <c r="D55" i="5" s="1"/>
  <c r="C39" i="5"/>
  <c r="C42" i="5" s="1"/>
  <c r="C55" i="5" s="1"/>
  <c r="B39" i="5"/>
  <c r="B40" i="5" s="1"/>
  <c r="P30" i="5"/>
  <c r="D30" i="5" s="1"/>
  <c r="I30" i="5"/>
  <c r="G30" i="5"/>
  <c r="F30" i="5"/>
  <c r="B30" i="5"/>
  <c r="M29" i="5"/>
  <c r="L29" i="5"/>
  <c r="K29" i="5"/>
  <c r="J29" i="5"/>
  <c r="I29" i="5"/>
  <c r="H29" i="5"/>
  <c r="G29" i="5"/>
  <c r="F29" i="5"/>
  <c r="E29" i="5"/>
  <c r="D29" i="5"/>
  <c r="C29" i="5"/>
  <c r="B29" i="5"/>
  <c r="M7" i="5"/>
  <c r="L7" i="5"/>
  <c r="K7" i="5"/>
  <c r="J7" i="5"/>
  <c r="I7" i="5"/>
  <c r="H7" i="5"/>
  <c r="G7" i="5"/>
  <c r="F7" i="5"/>
  <c r="E7" i="5"/>
  <c r="D7" i="5"/>
  <c r="C7" i="5"/>
  <c r="B7" i="5"/>
  <c r="M6" i="5"/>
  <c r="M8" i="5" s="1"/>
  <c r="L6" i="5"/>
  <c r="L8" i="5" s="1"/>
  <c r="K6" i="5"/>
  <c r="K8" i="5" s="1"/>
  <c r="J6" i="5"/>
  <c r="J8" i="5" s="1"/>
  <c r="I6" i="5"/>
  <c r="I8" i="5" s="1"/>
  <c r="H6" i="5"/>
  <c r="H8" i="5" s="1"/>
  <c r="G6" i="5"/>
  <c r="G8" i="5" s="1"/>
  <c r="F6" i="5"/>
  <c r="F8" i="5" s="1"/>
  <c r="E6" i="5"/>
  <c r="E8" i="5" s="1"/>
  <c r="D6" i="5"/>
  <c r="D8" i="5" s="1"/>
  <c r="C6" i="5"/>
  <c r="C8" i="5" s="1"/>
  <c r="B6" i="5"/>
  <c r="B8" i="5" s="1"/>
  <c r="B110" i="4"/>
  <c r="M94" i="4"/>
  <c r="L94" i="4"/>
  <c r="K94" i="4"/>
  <c r="J94" i="4"/>
  <c r="I94" i="4"/>
  <c r="H94" i="4"/>
  <c r="G94" i="4"/>
  <c r="F94" i="4"/>
  <c r="E94" i="4"/>
  <c r="D94" i="4"/>
  <c r="C94" i="4"/>
  <c r="B94" i="4"/>
  <c r="M93" i="4"/>
  <c r="L93" i="4"/>
  <c r="K93" i="4"/>
  <c r="J93" i="4"/>
  <c r="I93" i="4"/>
  <c r="H93" i="4"/>
  <c r="G93" i="4"/>
  <c r="F93" i="4"/>
  <c r="E93" i="4"/>
  <c r="D93" i="4"/>
  <c r="C93" i="4"/>
  <c r="B93" i="4"/>
  <c r="M92" i="4"/>
  <c r="L92" i="4"/>
  <c r="K92" i="4"/>
  <c r="J92" i="4"/>
  <c r="I92" i="4"/>
  <c r="H92" i="4"/>
  <c r="G92" i="4"/>
  <c r="F92" i="4"/>
  <c r="E92" i="4"/>
  <c r="D92" i="4"/>
  <c r="C92" i="4"/>
  <c r="B92" i="4"/>
  <c r="M91" i="4"/>
  <c r="L91" i="4"/>
  <c r="K91" i="4"/>
  <c r="J91" i="4"/>
  <c r="I91" i="4"/>
  <c r="H91" i="4"/>
  <c r="G91" i="4"/>
  <c r="F91" i="4"/>
  <c r="E91" i="4"/>
  <c r="D91" i="4"/>
  <c r="C91" i="4"/>
  <c r="B91" i="4"/>
  <c r="M89" i="4"/>
  <c r="L89" i="4"/>
  <c r="K89" i="4"/>
  <c r="J89" i="4"/>
  <c r="I89" i="4"/>
  <c r="H89" i="4"/>
  <c r="G89" i="4"/>
  <c r="F89" i="4"/>
  <c r="E89" i="4"/>
  <c r="D89" i="4"/>
  <c r="C89" i="4"/>
  <c r="B89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M85" i="4"/>
  <c r="L85" i="4"/>
  <c r="K85" i="4"/>
  <c r="J85" i="4"/>
  <c r="I85" i="4"/>
  <c r="H85" i="4"/>
  <c r="G85" i="4"/>
  <c r="F85" i="4"/>
  <c r="E85" i="4"/>
  <c r="D85" i="4"/>
  <c r="C85" i="4"/>
  <c r="B85" i="4"/>
  <c r="M83" i="4"/>
  <c r="L83" i="4"/>
  <c r="K83" i="4"/>
  <c r="J83" i="4"/>
  <c r="I83" i="4"/>
  <c r="H83" i="4"/>
  <c r="G83" i="4"/>
  <c r="F83" i="4"/>
  <c r="E83" i="4"/>
  <c r="D83" i="4"/>
  <c r="C83" i="4"/>
  <c r="B83" i="4"/>
  <c r="M82" i="4"/>
  <c r="L82" i="4"/>
  <c r="K82" i="4"/>
  <c r="J82" i="4"/>
  <c r="I82" i="4"/>
  <c r="H82" i="4"/>
  <c r="G82" i="4"/>
  <c r="F82" i="4"/>
  <c r="E82" i="4"/>
  <c r="D82" i="4"/>
  <c r="C82" i="4"/>
  <c r="B82" i="4"/>
  <c r="M81" i="4"/>
  <c r="L81" i="4"/>
  <c r="K81" i="4"/>
  <c r="J81" i="4"/>
  <c r="I81" i="4"/>
  <c r="H81" i="4"/>
  <c r="G81" i="4"/>
  <c r="F81" i="4"/>
  <c r="E81" i="4"/>
  <c r="D81" i="4"/>
  <c r="C81" i="4"/>
  <c r="B81" i="4"/>
  <c r="M80" i="4"/>
  <c r="L80" i="4"/>
  <c r="K80" i="4"/>
  <c r="J80" i="4"/>
  <c r="I80" i="4"/>
  <c r="H80" i="4"/>
  <c r="G80" i="4"/>
  <c r="F80" i="4"/>
  <c r="E80" i="4"/>
  <c r="D80" i="4"/>
  <c r="C80" i="4"/>
  <c r="B80" i="4"/>
  <c r="M79" i="4"/>
  <c r="L79" i="4"/>
  <c r="K79" i="4"/>
  <c r="J79" i="4"/>
  <c r="I79" i="4"/>
  <c r="H79" i="4"/>
  <c r="G79" i="4"/>
  <c r="F79" i="4"/>
  <c r="E79" i="4"/>
  <c r="D79" i="4"/>
  <c r="C79" i="4"/>
  <c r="B79" i="4"/>
  <c r="M78" i="4"/>
  <c r="L78" i="4"/>
  <c r="K78" i="4"/>
  <c r="J78" i="4"/>
  <c r="I78" i="4"/>
  <c r="H78" i="4"/>
  <c r="G78" i="4"/>
  <c r="F78" i="4"/>
  <c r="E78" i="4"/>
  <c r="D78" i="4"/>
  <c r="C78" i="4"/>
  <c r="B78" i="4"/>
  <c r="M77" i="4"/>
  <c r="L77" i="4"/>
  <c r="K77" i="4"/>
  <c r="J77" i="4"/>
  <c r="I77" i="4"/>
  <c r="H77" i="4"/>
  <c r="G77" i="4"/>
  <c r="F77" i="4"/>
  <c r="E77" i="4"/>
  <c r="D77" i="4"/>
  <c r="C77" i="4"/>
  <c r="B77" i="4"/>
  <c r="M74" i="4"/>
  <c r="L74" i="4"/>
  <c r="K74" i="4"/>
  <c r="J74" i="4"/>
  <c r="I74" i="4"/>
  <c r="H74" i="4"/>
  <c r="G74" i="4"/>
  <c r="F74" i="4"/>
  <c r="E74" i="4"/>
  <c r="D74" i="4"/>
  <c r="C74" i="4"/>
  <c r="B74" i="4"/>
  <c r="M73" i="4"/>
  <c r="L73" i="4"/>
  <c r="K73" i="4"/>
  <c r="J73" i="4"/>
  <c r="I73" i="4"/>
  <c r="H73" i="4"/>
  <c r="G73" i="4"/>
  <c r="F73" i="4"/>
  <c r="E73" i="4"/>
  <c r="D73" i="4"/>
  <c r="C73" i="4"/>
  <c r="B73" i="4"/>
  <c r="M70" i="4"/>
  <c r="L70" i="4"/>
  <c r="K70" i="4"/>
  <c r="J70" i="4"/>
  <c r="I70" i="4"/>
  <c r="H70" i="4"/>
  <c r="G70" i="4"/>
  <c r="F70" i="4"/>
  <c r="E70" i="4"/>
  <c r="D70" i="4"/>
  <c r="C70" i="4"/>
  <c r="B70" i="4"/>
  <c r="M69" i="4"/>
  <c r="L69" i="4"/>
  <c r="K69" i="4"/>
  <c r="J69" i="4"/>
  <c r="I69" i="4"/>
  <c r="H69" i="4"/>
  <c r="G69" i="4"/>
  <c r="F69" i="4"/>
  <c r="E69" i="4"/>
  <c r="D69" i="4"/>
  <c r="C69" i="4"/>
  <c r="B69" i="4"/>
  <c r="P65" i="4"/>
  <c r="E65" i="4" s="1"/>
  <c r="E66" i="4" s="1"/>
  <c r="H65" i="4"/>
  <c r="H66" i="4" s="1"/>
  <c r="G65" i="4"/>
  <c r="C65" i="4"/>
  <c r="C66" i="4" s="1"/>
  <c r="B65" i="4"/>
  <c r="B66" i="4" s="1"/>
  <c r="P63" i="4"/>
  <c r="M63" i="4" s="1"/>
  <c r="L63" i="4"/>
  <c r="K63" i="4"/>
  <c r="J63" i="4"/>
  <c r="I63" i="4"/>
  <c r="H63" i="4"/>
  <c r="F63" i="4"/>
  <c r="E63" i="4"/>
  <c r="D63" i="4"/>
  <c r="C63" i="4"/>
  <c r="B63" i="4"/>
  <c r="M61" i="4"/>
  <c r="L61" i="4"/>
  <c r="K61" i="4"/>
  <c r="J61" i="4"/>
  <c r="I61" i="4"/>
  <c r="H61" i="4"/>
  <c r="G61" i="4"/>
  <c r="F61" i="4"/>
  <c r="E61" i="4"/>
  <c r="D61" i="4"/>
  <c r="C61" i="4"/>
  <c r="B61" i="4"/>
  <c r="J58" i="4"/>
  <c r="J55" i="4"/>
  <c r="P42" i="4"/>
  <c r="P55" i="4" s="1"/>
  <c r="M42" i="4"/>
  <c r="M55" i="4" s="1"/>
  <c r="J42" i="4"/>
  <c r="I42" i="4"/>
  <c r="I55" i="4" s="1"/>
  <c r="H42" i="4"/>
  <c r="H55" i="4" s="1"/>
  <c r="C42" i="4"/>
  <c r="C55" i="4" s="1"/>
  <c r="B42" i="4"/>
  <c r="B55" i="4" s="1"/>
  <c r="P41" i="4"/>
  <c r="P54" i="4" s="1"/>
  <c r="J41" i="4"/>
  <c r="J54" i="4" s="1"/>
  <c r="I41" i="4"/>
  <c r="I54" i="4" s="1"/>
  <c r="C41" i="4"/>
  <c r="C54" i="4" s="1"/>
  <c r="B41" i="4"/>
  <c r="B54" i="4" s="1"/>
  <c r="J40" i="4"/>
  <c r="J53" i="4" s="1"/>
  <c r="F40" i="4"/>
  <c r="C40" i="4"/>
  <c r="C58" i="4" s="1"/>
  <c r="P39" i="4"/>
  <c r="P40" i="4" s="1"/>
  <c r="M39" i="4"/>
  <c r="M40" i="4" s="1"/>
  <c r="L39" i="4"/>
  <c r="L41" i="4" s="1"/>
  <c r="L54" i="4" s="1"/>
  <c r="K39" i="4"/>
  <c r="K42" i="4" s="1"/>
  <c r="K55" i="4" s="1"/>
  <c r="J39" i="4"/>
  <c r="I39" i="4"/>
  <c r="I40" i="4" s="1"/>
  <c r="H39" i="4"/>
  <c r="H41" i="4" s="1"/>
  <c r="H54" i="4" s="1"/>
  <c r="G39" i="4"/>
  <c r="G42" i="4" s="1"/>
  <c r="G55" i="4" s="1"/>
  <c r="F39" i="4"/>
  <c r="F42" i="4" s="1"/>
  <c r="F55" i="4" s="1"/>
  <c r="E39" i="4"/>
  <c r="E42" i="4" s="1"/>
  <c r="E55" i="4" s="1"/>
  <c r="D39" i="4"/>
  <c r="D40" i="4" s="1"/>
  <c r="C39" i="4"/>
  <c r="B39" i="4"/>
  <c r="B40" i="4" s="1"/>
  <c r="P30" i="4"/>
  <c r="D30" i="4" s="1"/>
  <c r="G30" i="4"/>
  <c r="F30" i="4"/>
  <c r="B30" i="4"/>
  <c r="M29" i="4"/>
  <c r="L29" i="4"/>
  <c r="K29" i="4"/>
  <c r="J29" i="4"/>
  <c r="I29" i="4"/>
  <c r="H29" i="4"/>
  <c r="G29" i="4"/>
  <c r="F29" i="4"/>
  <c r="E29" i="4"/>
  <c r="D29" i="4"/>
  <c r="C29" i="4"/>
  <c r="B29" i="4"/>
  <c r="M7" i="4"/>
  <c r="L7" i="4"/>
  <c r="K7" i="4"/>
  <c r="J7" i="4"/>
  <c r="I7" i="4"/>
  <c r="H7" i="4"/>
  <c r="G7" i="4"/>
  <c r="F7" i="4"/>
  <c r="E7" i="4"/>
  <c r="D7" i="4"/>
  <c r="C7" i="4"/>
  <c r="B7" i="4"/>
  <c r="M6" i="4"/>
  <c r="M8" i="4" s="1"/>
  <c r="L6" i="4"/>
  <c r="L8" i="4" s="1"/>
  <c r="K6" i="4"/>
  <c r="K8" i="4" s="1"/>
  <c r="J6" i="4"/>
  <c r="J8" i="4" s="1"/>
  <c r="I6" i="4"/>
  <c r="I8" i="4" s="1"/>
  <c r="H6" i="4"/>
  <c r="H8" i="4" s="1"/>
  <c r="G6" i="4"/>
  <c r="G8" i="4" s="1"/>
  <c r="F6" i="4"/>
  <c r="F8" i="4" s="1"/>
  <c r="E6" i="4"/>
  <c r="E8" i="4" s="1"/>
  <c r="D6" i="4"/>
  <c r="D8" i="4" s="1"/>
  <c r="C6" i="4"/>
  <c r="C8" i="4" s="1"/>
  <c r="B6" i="4"/>
  <c r="B8" i="4" s="1"/>
  <c r="B110" i="3"/>
  <c r="M94" i="3"/>
  <c r="L94" i="3"/>
  <c r="K94" i="3"/>
  <c r="J94" i="3"/>
  <c r="I94" i="3"/>
  <c r="H94" i="3"/>
  <c r="G94" i="3"/>
  <c r="F94" i="3"/>
  <c r="E94" i="3"/>
  <c r="D94" i="3"/>
  <c r="C94" i="3"/>
  <c r="B94" i="3"/>
  <c r="M93" i="3"/>
  <c r="L93" i="3"/>
  <c r="K93" i="3"/>
  <c r="J93" i="3"/>
  <c r="I93" i="3"/>
  <c r="H93" i="3"/>
  <c r="G93" i="3"/>
  <c r="F93" i="3"/>
  <c r="E93" i="3"/>
  <c r="D93" i="3"/>
  <c r="C93" i="3"/>
  <c r="B93" i="3"/>
  <c r="M92" i="3"/>
  <c r="L92" i="3"/>
  <c r="K92" i="3"/>
  <c r="J92" i="3"/>
  <c r="I92" i="3"/>
  <c r="H92" i="3"/>
  <c r="G92" i="3"/>
  <c r="F92" i="3"/>
  <c r="E92" i="3"/>
  <c r="D92" i="3"/>
  <c r="C92" i="3"/>
  <c r="B92" i="3"/>
  <c r="M91" i="3"/>
  <c r="L91" i="3"/>
  <c r="K91" i="3"/>
  <c r="J91" i="3"/>
  <c r="I91" i="3"/>
  <c r="H91" i="3"/>
  <c r="G91" i="3"/>
  <c r="F91" i="3"/>
  <c r="E91" i="3"/>
  <c r="D91" i="3"/>
  <c r="C91" i="3"/>
  <c r="B91" i="3"/>
  <c r="M89" i="3"/>
  <c r="L89" i="3"/>
  <c r="K89" i="3"/>
  <c r="J89" i="3"/>
  <c r="I89" i="3"/>
  <c r="H89" i="3"/>
  <c r="G89" i="3"/>
  <c r="F89" i="3"/>
  <c r="E89" i="3"/>
  <c r="D89" i="3"/>
  <c r="C89" i="3"/>
  <c r="B89" i="3"/>
  <c r="M87" i="3"/>
  <c r="L87" i="3"/>
  <c r="K87" i="3"/>
  <c r="J87" i="3"/>
  <c r="I87" i="3"/>
  <c r="H87" i="3"/>
  <c r="G87" i="3"/>
  <c r="F87" i="3"/>
  <c r="E87" i="3"/>
  <c r="D87" i="3"/>
  <c r="C87" i="3"/>
  <c r="B87" i="3"/>
  <c r="M86" i="3"/>
  <c r="L86" i="3"/>
  <c r="K86" i="3"/>
  <c r="J86" i="3"/>
  <c r="I86" i="3"/>
  <c r="H86" i="3"/>
  <c r="G86" i="3"/>
  <c r="F86" i="3"/>
  <c r="E86" i="3"/>
  <c r="D86" i="3"/>
  <c r="C86" i="3"/>
  <c r="B86" i="3"/>
  <c r="M85" i="3"/>
  <c r="L85" i="3"/>
  <c r="K85" i="3"/>
  <c r="J85" i="3"/>
  <c r="I85" i="3"/>
  <c r="H85" i="3"/>
  <c r="G85" i="3"/>
  <c r="F85" i="3"/>
  <c r="E85" i="3"/>
  <c r="D85" i="3"/>
  <c r="C85" i="3"/>
  <c r="B85" i="3"/>
  <c r="M83" i="3"/>
  <c r="L83" i="3"/>
  <c r="K83" i="3"/>
  <c r="J83" i="3"/>
  <c r="I83" i="3"/>
  <c r="H83" i="3"/>
  <c r="G83" i="3"/>
  <c r="F83" i="3"/>
  <c r="E83" i="3"/>
  <c r="D83" i="3"/>
  <c r="C83" i="3"/>
  <c r="B83" i="3"/>
  <c r="M82" i="3"/>
  <c r="L82" i="3"/>
  <c r="K82" i="3"/>
  <c r="J82" i="3"/>
  <c r="I82" i="3"/>
  <c r="H82" i="3"/>
  <c r="G82" i="3"/>
  <c r="F82" i="3"/>
  <c r="E82" i="3"/>
  <c r="D82" i="3"/>
  <c r="C82" i="3"/>
  <c r="B82" i="3"/>
  <c r="M81" i="3"/>
  <c r="L81" i="3"/>
  <c r="K81" i="3"/>
  <c r="J81" i="3"/>
  <c r="I81" i="3"/>
  <c r="H81" i="3"/>
  <c r="G81" i="3"/>
  <c r="F81" i="3"/>
  <c r="E81" i="3"/>
  <c r="D81" i="3"/>
  <c r="C81" i="3"/>
  <c r="B81" i="3"/>
  <c r="M80" i="3"/>
  <c r="L80" i="3"/>
  <c r="K80" i="3"/>
  <c r="J80" i="3"/>
  <c r="I80" i="3"/>
  <c r="H80" i="3"/>
  <c r="G80" i="3"/>
  <c r="F80" i="3"/>
  <c r="E80" i="3"/>
  <c r="D80" i="3"/>
  <c r="C80" i="3"/>
  <c r="B80" i="3"/>
  <c r="M79" i="3"/>
  <c r="L79" i="3"/>
  <c r="K79" i="3"/>
  <c r="J79" i="3"/>
  <c r="I79" i="3"/>
  <c r="H79" i="3"/>
  <c r="G79" i="3"/>
  <c r="F79" i="3"/>
  <c r="E79" i="3"/>
  <c r="D79" i="3"/>
  <c r="C79" i="3"/>
  <c r="B79" i="3"/>
  <c r="M78" i="3"/>
  <c r="L78" i="3"/>
  <c r="K78" i="3"/>
  <c r="J78" i="3"/>
  <c r="I78" i="3"/>
  <c r="H78" i="3"/>
  <c r="G78" i="3"/>
  <c r="F78" i="3"/>
  <c r="E78" i="3"/>
  <c r="D78" i="3"/>
  <c r="C78" i="3"/>
  <c r="B78" i="3"/>
  <c r="M77" i="3"/>
  <c r="L77" i="3"/>
  <c r="K77" i="3"/>
  <c r="J77" i="3"/>
  <c r="I77" i="3"/>
  <c r="H77" i="3"/>
  <c r="G77" i="3"/>
  <c r="F77" i="3"/>
  <c r="E77" i="3"/>
  <c r="D77" i="3"/>
  <c r="C77" i="3"/>
  <c r="B77" i="3"/>
  <c r="M74" i="3"/>
  <c r="L74" i="3"/>
  <c r="K74" i="3"/>
  <c r="J74" i="3"/>
  <c r="I74" i="3"/>
  <c r="H74" i="3"/>
  <c r="G74" i="3"/>
  <c r="F74" i="3"/>
  <c r="E74" i="3"/>
  <c r="D74" i="3"/>
  <c r="C74" i="3"/>
  <c r="B74" i="3"/>
  <c r="M73" i="3"/>
  <c r="L73" i="3"/>
  <c r="K73" i="3"/>
  <c r="J73" i="3"/>
  <c r="I73" i="3"/>
  <c r="H73" i="3"/>
  <c r="G73" i="3"/>
  <c r="F73" i="3"/>
  <c r="E73" i="3"/>
  <c r="D73" i="3"/>
  <c r="C73" i="3"/>
  <c r="B73" i="3"/>
  <c r="M70" i="3"/>
  <c r="L70" i="3"/>
  <c r="K70" i="3"/>
  <c r="J70" i="3"/>
  <c r="I70" i="3"/>
  <c r="H70" i="3"/>
  <c r="G70" i="3"/>
  <c r="F70" i="3"/>
  <c r="E70" i="3"/>
  <c r="D70" i="3"/>
  <c r="C70" i="3"/>
  <c r="B70" i="3"/>
  <c r="M69" i="3"/>
  <c r="L69" i="3"/>
  <c r="K69" i="3"/>
  <c r="J69" i="3"/>
  <c r="I69" i="3"/>
  <c r="H69" i="3"/>
  <c r="G69" i="3"/>
  <c r="F69" i="3"/>
  <c r="E69" i="3"/>
  <c r="D69" i="3"/>
  <c r="C69" i="3"/>
  <c r="B69" i="3"/>
  <c r="P66" i="3"/>
  <c r="B66" i="3"/>
  <c r="P65" i="3"/>
  <c r="M65" i="3" s="1"/>
  <c r="E65" i="3"/>
  <c r="E66" i="3" s="1"/>
  <c r="D65" i="3"/>
  <c r="D66" i="3" s="1"/>
  <c r="C65" i="3"/>
  <c r="B65" i="3"/>
  <c r="P63" i="3"/>
  <c r="C63" i="3" s="1"/>
  <c r="C66" i="3" s="1"/>
  <c r="F63" i="3"/>
  <c r="E63" i="3"/>
  <c r="D63" i="3"/>
  <c r="B63" i="3"/>
  <c r="M61" i="3"/>
  <c r="L61" i="3"/>
  <c r="K61" i="3"/>
  <c r="J61" i="3"/>
  <c r="I61" i="3"/>
  <c r="H61" i="3"/>
  <c r="G61" i="3"/>
  <c r="F61" i="3"/>
  <c r="E61" i="3"/>
  <c r="D61" i="3"/>
  <c r="C61" i="3"/>
  <c r="B61" i="3"/>
  <c r="H55" i="3"/>
  <c r="G55" i="3"/>
  <c r="I54" i="3"/>
  <c r="H54" i="3"/>
  <c r="I53" i="3"/>
  <c r="I5" i="3" s="1"/>
  <c r="K42" i="3"/>
  <c r="K55" i="3" s="1"/>
  <c r="J42" i="3"/>
  <c r="J55" i="3" s="1"/>
  <c r="I42" i="3"/>
  <c r="I55" i="3" s="1"/>
  <c r="H42" i="3"/>
  <c r="G42" i="3"/>
  <c r="C42" i="3"/>
  <c r="C55" i="3" s="1"/>
  <c r="L41" i="3"/>
  <c r="L54" i="3" s="1"/>
  <c r="K41" i="3"/>
  <c r="K54" i="3" s="1"/>
  <c r="J41" i="3"/>
  <c r="J54" i="3" s="1"/>
  <c r="I41" i="3"/>
  <c r="H41" i="3"/>
  <c r="D41" i="3"/>
  <c r="D54" i="3" s="1"/>
  <c r="L40" i="3"/>
  <c r="K40" i="3"/>
  <c r="K58" i="3" s="1"/>
  <c r="I40" i="3"/>
  <c r="I58" i="3" s="1"/>
  <c r="E40" i="3"/>
  <c r="E53" i="3" s="1"/>
  <c r="P39" i="3"/>
  <c r="P42" i="3" s="1"/>
  <c r="P55" i="3" s="1"/>
  <c r="M39" i="3"/>
  <c r="M40" i="3" s="1"/>
  <c r="L39" i="3"/>
  <c r="L42" i="3" s="1"/>
  <c r="L55" i="3" s="1"/>
  <c r="K39" i="3"/>
  <c r="J39" i="3"/>
  <c r="J40" i="3" s="1"/>
  <c r="I39" i="3"/>
  <c r="H39" i="3"/>
  <c r="H40" i="3" s="1"/>
  <c r="G39" i="3"/>
  <c r="G41" i="3" s="1"/>
  <c r="G54" i="3" s="1"/>
  <c r="F39" i="3"/>
  <c r="F42" i="3" s="1"/>
  <c r="F55" i="3" s="1"/>
  <c r="E39" i="3"/>
  <c r="E42" i="3" s="1"/>
  <c r="E55" i="3" s="1"/>
  <c r="D39" i="3"/>
  <c r="D42" i="3" s="1"/>
  <c r="D55" i="3" s="1"/>
  <c r="C39" i="3"/>
  <c r="C41" i="3" s="1"/>
  <c r="C54" i="3" s="1"/>
  <c r="B39" i="3"/>
  <c r="B42" i="3" s="1"/>
  <c r="B55" i="3" s="1"/>
  <c r="P30" i="3"/>
  <c r="M30" i="3" s="1"/>
  <c r="D30" i="3"/>
  <c r="C30" i="3"/>
  <c r="B30" i="3"/>
  <c r="M29" i="3"/>
  <c r="L29" i="3"/>
  <c r="K29" i="3"/>
  <c r="J29" i="3"/>
  <c r="I29" i="3"/>
  <c r="H29" i="3"/>
  <c r="G29" i="3"/>
  <c r="F29" i="3"/>
  <c r="E29" i="3"/>
  <c r="D29" i="3"/>
  <c r="C29" i="3"/>
  <c r="B29" i="3"/>
  <c r="M7" i="3"/>
  <c r="L7" i="3"/>
  <c r="K7" i="3"/>
  <c r="J7" i="3"/>
  <c r="I7" i="3"/>
  <c r="H7" i="3"/>
  <c r="G7" i="3"/>
  <c r="F7" i="3"/>
  <c r="E7" i="3"/>
  <c r="D7" i="3"/>
  <c r="C7" i="3"/>
  <c r="B7" i="3"/>
  <c r="M6" i="3"/>
  <c r="M8" i="3" s="1"/>
  <c r="L6" i="3"/>
  <c r="L8" i="3" s="1"/>
  <c r="K6" i="3"/>
  <c r="K8" i="3" s="1"/>
  <c r="J6" i="3"/>
  <c r="J8" i="3" s="1"/>
  <c r="I6" i="3"/>
  <c r="I8" i="3" s="1"/>
  <c r="H6" i="3"/>
  <c r="H8" i="3" s="1"/>
  <c r="G6" i="3"/>
  <c r="G8" i="3" s="1"/>
  <c r="F6" i="3"/>
  <c r="F8" i="3" s="1"/>
  <c r="E6" i="3"/>
  <c r="E8" i="3" s="1"/>
  <c r="D6" i="3"/>
  <c r="D8" i="3" s="1"/>
  <c r="C6" i="3"/>
  <c r="C8" i="3" s="1"/>
  <c r="B6" i="3"/>
  <c r="B8" i="3" s="1"/>
  <c r="B58" i="5" l="1"/>
  <c r="B53" i="5"/>
  <c r="B5" i="5" s="1"/>
  <c r="B10" i="5" s="1"/>
  <c r="C5" i="5"/>
  <c r="B97" i="5"/>
  <c r="B112" i="5" s="1"/>
  <c r="E66" i="5"/>
  <c r="F58" i="5"/>
  <c r="G66" i="5"/>
  <c r="M58" i="5"/>
  <c r="M53" i="5"/>
  <c r="M5" i="5" s="1"/>
  <c r="P58" i="5"/>
  <c r="P53" i="5"/>
  <c r="P5" i="5" s="1"/>
  <c r="P10" i="5" s="1"/>
  <c r="P13" i="5" s="1"/>
  <c r="E30" i="5"/>
  <c r="M41" i="5"/>
  <c r="M54" i="5" s="1"/>
  <c r="L42" i="5"/>
  <c r="L55" i="5" s="1"/>
  <c r="G63" i="5"/>
  <c r="F65" i="5"/>
  <c r="F66" i="5" s="1"/>
  <c r="F97" i="5" s="1"/>
  <c r="F112" i="5" s="1"/>
  <c r="D40" i="5"/>
  <c r="H30" i="5"/>
  <c r="E40" i="5"/>
  <c r="D41" i="5"/>
  <c r="D54" i="5" s="1"/>
  <c r="J30" i="5"/>
  <c r="G40" i="5"/>
  <c r="F41" i="5"/>
  <c r="F54" i="5" s="1"/>
  <c r="E42" i="5"/>
  <c r="E55" i="5" s="1"/>
  <c r="L63" i="5"/>
  <c r="K65" i="5"/>
  <c r="K66" i="5" s="1"/>
  <c r="K30" i="5"/>
  <c r="H40" i="5"/>
  <c r="G41" i="5"/>
  <c r="G54" i="5" s="1"/>
  <c r="M63" i="5"/>
  <c r="L65" i="5"/>
  <c r="L66" i="5" s="1"/>
  <c r="L30" i="5"/>
  <c r="I40" i="5"/>
  <c r="H41" i="5"/>
  <c r="H54" i="5" s="1"/>
  <c r="F53" i="5"/>
  <c r="F5" i="5" s="1"/>
  <c r="C58" i="5"/>
  <c r="M65" i="5"/>
  <c r="M30" i="5"/>
  <c r="J40" i="5"/>
  <c r="I41" i="5"/>
  <c r="I54" i="5" s="1"/>
  <c r="K40" i="5"/>
  <c r="J41" i="5"/>
  <c r="J54" i="5" s="1"/>
  <c r="D63" i="5"/>
  <c r="D66" i="5" s="1"/>
  <c r="C65" i="5"/>
  <c r="C66" i="5" s="1"/>
  <c r="P66" i="5"/>
  <c r="C30" i="5"/>
  <c r="L40" i="5"/>
  <c r="K41" i="5"/>
  <c r="K54" i="5" s="1"/>
  <c r="M53" i="4"/>
  <c r="M5" i="4" s="1"/>
  <c r="B58" i="4"/>
  <c r="B97" i="4" s="1"/>
  <c r="B112" i="4" s="1"/>
  <c r="B53" i="4"/>
  <c r="B5" i="4" s="1"/>
  <c r="B10" i="4" s="1"/>
  <c r="D53" i="4"/>
  <c r="J5" i="4"/>
  <c r="C97" i="4"/>
  <c r="C112" i="4" s="1"/>
  <c r="P58" i="4"/>
  <c r="P53" i="4"/>
  <c r="P5" i="4" s="1"/>
  <c r="P10" i="4" s="1"/>
  <c r="P13" i="4" s="1"/>
  <c r="I53" i="4"/>
  <c r="I5" i="4" s="1"/>
  <c r="I58" i="4"/>
  <c r="G66" i="4"/>
  <c r="E30" i="4"/>
  <c r="M41" i="4"/>
  <c r="M54" i="4" s="1"/>
  <c r="L42" i="4"/>
  <c r="L55" i="4" s="1"/>
  <c r="G63" i="4"/>
  <c r="F65" i="4"/>
  <c r="F66" i="4" s="1"/>
  <c r="H30" i="4"/>
  <c r="E40" i="4"/>
  <c r="D41" i="4"/>
  <c r="D54" i="4" s="1"/>
  <c r="I65" i="4"/>
  <c r="I66" i="4" s="1"/>
  <c r="I97" i="4" s="1"/>
  <c r="I112" i="4" s="1"/>
  <c r="I30" i="4"/>
  <c r="E41" i="4"/>
  <c r="E54" i="4" s="1"/>
  <c r="D42" i="4"/>
  <c r="D55" i="4" s="1"/>
  <c r="C53" i="4"/>
  <c r="C5" i="4" s="1"/>
  <c r="J65" i="4"/>
  <c r="J66" i="4" s="1"/>
  <c r="J97" i="4" s="1"/>
  <c r="J112" i="4" s="1"/>
  <c r="J30" i="4"/>
  <c r="G40" i="4"/>
  <c r="F41" i="4"/>
  <c r="F54" i="4" s="1"/>
  <c r="K65" i="4"/>
  <c r="K66" i="4" s="1"/>
  <c r="K30" i="4"/>
  <c r="H40" i="4"/>
  <c r="G41" i="4"/>
  <c r="G54" i="4" s="1"/>
  <c r="L65" i="4"/>
  <c r="L66" i="4" s="1"/>
  <c r="L30" i="4"/>
  <c r="F53" i="4"/>
  <c r="M65" i="4"/>
  <c r="M66" i="4" s="1"/>
  <c r="M30" i="4"/>
  <c r="K40" i="4"/>
  <c r="P66" i="4"/>
  <c r="P97" i="4" s="1"/>
  <c r="P98" i="4" s="1"/>
  <c r="C30" i="4"/>
  <c r="L40" i="4"/>
  <c r="K41" i="4"/>
  <c r="K54" i="4" s="1"/>
  <c r="D65" i="4"/>
  <c r="D66" i="4" s="1"/>
  <c r="M53" i="3"/>
  <c r="L58" i="3"/>
  <c r="H53" i="3"/>
  <c r="H5" i="3" s="1"/>
  <c r="H58" i="3"/>
  <c r="J53" i="3"/>
  <c r="J5" i="3" s="1"/>
  <c r="J58" i="3"/>
  <c r="E30" i="3"/>
  <c r="B40" i="3"/>
  <c r="P40" i="3"/>
  <c r="M41" i="3"/>
  <c r="M54" i="3" s="1"/>
  <c r="K53" i="3"/>
  <c r="K5" i="3" s="1"/>
  <c r="G63" i="3"/>
  <c r="F65" i="3"/>
  <c r="F66" i="3" s="1"/>
  <c r="F30" i="3"/>
  <c r="C40" i="3"/>
  <c r="B41" i="3"/>
  <c r="B54" i="3" s="1"/>
  <c r="P41" i="3"/>
  <c r="P54" i="3" s="1"/>
  <c r="M42" i="3"/>
  <c r="M55" i="3" s="1"/>
  <c r="L53" i="3"/>
  <c r="L5" i="3" s="1"/>
  <c r="H63" i="3"/>
  <c r="G65" i="3"/>
  <c r="G66" i="3" s="1"/>
  <c r="G30" i="3"/>
  <c r="D40" i="3"/>
  <c r="I63" i="3"/>
  <c r="H65" i="3"/>
  <c r="H66" i="3" s="1"/>
  <c r="H97" i="3" s="1"/>
  <c r="H112" i="3" s="1"/>
  <c r="H30" i="3"/>
  <c r="J63" i="3"/>
  <c r="I65" i="3"/>
  <c r="I66" i="3" s="1"/>
  <c r="I97" i="3" s="1"/>
  <c r="I112" i="3" s="1"/>
  <c r="I30" i="3"/>
  <c r="F40" i="3"/>
  <c r="E41" i="3"/>
  <c r="K63" i="3"/>
  <c r="J65" i="3"/>
  <c r="J66" i="3" s="1"/>
  <c r="J97" i="3" s="1"/>
  <c r="J112" i="3" s="1"/>
  <c r="J30" i="3"/>
  <c r="G40" i="3"/>
  <c r="F41" i="3"/>
  <c r="F54" i="3" s="1"/>
  <c r="L63" i="3"/>
  <c r="K65" i="3"/>
  <c r="K66" i="3" s="1"/>
  <c r="K97" i="3" s="1"/>
  <c r="K112" i="3" s="1"/>
  <c r="K30" i="3"/>
  <c r="M63" i="3"/>
  <c r="M66" i="3" s="1"/>
  <c r="L65" i="3"/>
  <c r="L30" i="3"/>
  <c r="D97" i="5" l="1"/>
  <c r="D112" i="5" s="1"/>
  <c r="C97" i="5"/>
  <c r="C112" i="5" s="1"/>
  <c r="K58" i="5"/>
  <c r="K53" i="5"/>
  <c r="K5" i="5" s="1"/>
  <c r="D58" i="5"/>
  <c r="D53" i="5"/>
  <c r="D5" i="5" s="1"/>
  <c r="J53" i="5"/>
  <c r="J5" i="5" s="1"/>
  <c r="J58" i="5"/>
  <c r="J97" i="5" s="1"/>
  <c r="J112" i="5" s="1"/>
  <c r="L97" i="5"/>
  <c r="L112" i="5" s="1"/>
  <c r="K97" i="5"/>
  <c r="K112" i="5" s="1"/>
  <c r="E58" i="5"/>
  <c r="E97" i="5" s="1"/>
  <c r="E112" i="5" s="1"/>
  <c r="E53" i="5"/>
  <c r="E5" i="5" s="1"/>
  <c r="M66" i="5"/>
  <c r="M97" i="5" s="1"/>
  <c r="M112" i="5" s="1"/>
  <c r="L53" i="5"/>
  <c r="L5" i="5" s="1"/>
  <c r="L58" i="5"/>
  <c r="P23" i="5"/>
  <c r="P17" i="5"/>
  <c r="P20" i="5"/>
  <c r="C10" i="5"/>
  <c r="H53" i="5"/>
  <c r="H5" i="5" s="1"/>
  <c r="H58" i="5"/>
  <c r="H97" i="5" s="1"/>
  <c r="H112" i="5" s="1"/>
  <c r="G58" i="5"/>
  <c r="G97" i="5" s="1"/>
  <c r="G112" i="5" s="1"/>
  <c r="G53" i="5"/>
  <c r="G5" i="5" s="1"/>
  <c r="B11" i="5"/>
  <c r="B13" i="5"/>
  <c r="P97" i="5"/>
  <c r="P98" i="5" s="1"/>
  <c r="I53" i="5"/>
  <c r="I5" i="5" s="1"/>
  <c r="I58" i="5"/>
  <c r="I97" i="5" s="1"/>
  <c r="I112" i="5" s="1"/>
  <c r="E58" i="4"/>
  <c r="E97" i="4" s="1"/>
  <c r="E112" i="4" s="1"/>
  <c r="E53" i="4"/>
  <c r="E5" i="4" s="1"/>
  <c r="L53" i="4"/>
  <c r="L5" i="4" s="1"/>
  <c r="L58" i="4"/>
  <c r="P23" i="4"/>
  <c r="P20" i="4"/>
  <c r="P17" i="4"/>
  <c r="G58" i="4"/>
  <c r="G53" i="4"/>
  <c r="G5" i="4" s="1"/>
  <c r="K58" i="4"/>
  <c r="K97" i="4" s="1"/>
  <c r="K112" i="4" s="1"/>
  <c r="K53" i="4"/>
  <c r="K5" i="4" s="1"/>
  <c r="F58" i="4"/>
  <c r="F97" i="4" s="1"/>
  <c r="F112" i="4" s="1"/>
  <c r="M97" i="4"/>
  <c r="M112" i="4" s="1"/>
  <c r="C10" i="4"/>
  <c r="D5" i="4"/>
  <c r="D10" i="4" s="1"/>
  <c r="F5" i="4"/>
  <c r="D58" i="4"/>
  <c r="D97" i="4" s="1"/>
  <c r="D112" i="4" s="1"/>
  <c r="B13" i="4"/>
  <c r="B11" i="4" s="1"/>
  <c r="L97" i="4"/>
  <c r="L112" i="4" s="1"/>
  <c r="G97" i="4"/>
  <c r="G112" i="4" s="1"/>
  <c r="H53" i="4"/>
  <c r="H5" i="4" s="1"/>
  <c r="H58" i="4"/>
  <c r="H97" i="4" s="1"/>
  <c r="H112" i="4" s="1"/>
  <c r="M58" i="4"/>
  <c r="C58" i="3"/>
  <c r="C97" i="3" s="1"/>
  <c r="C112" i="3" s="1"/>
  <c r="C53" i="3"/>
  <c r="C5" i="3" s="1"/>
  <c r="C10" i="3" s="1"/>
  <c r="G58" i="3"/>
  <c r="G53" i="3"/>
  <c r="G5" i="3" s="1"/>
  <c r="D58" i="3"/>
  <c r="D97" i="3" s="1"/>
  <c r="D112" i="3" s="1"/>
  <c r="D53" i="3"/>
  <c r="D5" i="3" s="1"/>
  <c r="G97" i="3"/>
  <c r="G112" i="3" s="1"/>
  <c r="P58" i="3"/>
  <c r="P97" i="3" s="1"/>
  <c r="P98" i="3" s="1"/>
  <c r="P53" i="3"/>
  <c r="P5" i="3" s="1"/>
  <c r="P10" i="3" s="1"/>
  <c r="P13" i="3" s="1"/>
  <c r="E58" i="3"/>
  <c r="E97" i="3" s="1"/>
  <c r="E112" i="3" s="1"/>
  <c r="E54" i="3"/>
  <c r="E5" i="3" s="1"/>
  <c r="B58" i="3"/>
  <c r="B97" i="3" s="1"/>
  <c r="B112" i="3" s="1"/>
  <c r="B53" i="3"/>
  <c r="B5" i="3" s="1"/>
  <c r="B10" i="3" s="1"/>
  <c r="F53" i="3"/>
  <c r="F5" i="3" s="1"/>
  <c r="F58" i="3"/>
  <c r="F97" i="3" s="1"/>
  <c r="F112" i="3" s="1"/>
  <c r="M5" i="3"/>
  <c r="L66" i="3"/>
  <c r="L97" i="3" s="1"/>
  <c r="L112" i="3" s="1"/>
  <c r="M58" i="3"/>
  <c r="M97" i="3" s="1"/>
  <c r="M112" i="3" s="1"/>
  <c r="E10" i="5" l="1"/>
  <c r="F25" i="5"/>
  <c r="G23" i="5"/>
  <c r="E25" i="5"/>
  <c r="F23" i="5"/>
  <c r="K25" i="5"/>
  <c r="D25" i="5"/>
  <c r="E23" i="5"/>
  <c r="C25" i="5"/>
  <c r="D23" i="5"/>
  <c r="H25" i="5"/>
  <c r="B25" i="5"/>
  <c r="B26" i="5" s="1"/>
  <c r="C23" i="5"/>
  <c r="M25" i="5"/>
  <c r="B23" i="5"/>
  <c r="I23" i="5"/>
  <c r="L25" i="5"/>
  <c r="M23" i="5"/>
  <c r="I25" i="5"/>
  <c r="J25" i="5"/>
  <c r="K23" i="5"/>
  <c r="G25" i="5"/>
  <c r="H23" i="5"/>
  <c r="L23" i="5"/>
  <c r="J23" i="5"/>
  <c r="D10" i="5"/>
  <c r="G22" i="5"/>
  <c r="H20" i="5"/>
  <c r="F22" i="5"/>
  <c r="G20" i="5"/>
  <c r="E22" i="5"/>
  <c r="F20" i="5"/>
  <c r="J22" i="5"/>
  <c r="D22" i="5"/>
  <c r="E20" i="5"/>
  <c r="C22" i="5"/>
  <c r="D20" i="5"/>
  <c r="M20" i="5"/>
  <c r="B22" i="5"/>
  <c r="C20" i="5"/>
  <c r="K20" i="5"/>
  <c r="M22" i="5"/>
  <c r="B20" i="5"/>
  <c r="L22" i="5"/>
  <c r="I22" i="5"/>
  <c r="K22" i="5"/>
  <c r="L20" i="5"/>
  <c r="H22" i="5"/>
  <c r="I20" i="5"/>
  <c r="J20" i="5"/>
  <c r="C13" i="5"/>
  <c r="C11" i="5" s="1"/>
  <c r="H19" i="5"/>
  <c r="I17" i="5"/>
  <c r="G19" i="5"/>
  <c r="H17" i="5"/>
  <c r="K17" i="5"/>
  <c r="F19" i="5"/>
  <c r="G17" i="5"/>
  <c r="M19" i="5"/>
  <c r="J19" i="5"/>
  <c r="E19" i="5"/>
  <c r="F17" i="5"/>
  <c r="B17" i="5"/>
  <c r="P26" i="5"/>
  <c r="D19" i="5"/>
  <c r="E17" i="5"/>
  <c r="C19" i="5"/>
  <c r="D17" i="5"/>
  <c r="B19" i="5"/>
  <c r="C17" i="5"/>
  <c r="L19" i="5"/>
  <c r="M17" i="5"/>
  <c r="K19" i="5"/>
  <c r="L17" i="5"/>
  <c r="I19" i="5"/>
  <c r="J17" i="5"/>
  <c r="H19" i="4"/>
  <c r="I17" i="4"/>
  <c r="G19" i="4"/>
  <c r="H17" i="4"/>
  <c r="L17" i="4"/>
  <c r="F19" i="4"/>
  <c r="G17" i="4"/>
  <c r="J19" i="4"/>
  <c r="E19" i="4"/>
  <c r="F17" i="4"/>
  <c r="K17" i="4"/>
  <c r="P26" i="4"/>
  <c r="D19" i="4"/>
  <c r="E17" i="4"/>
  <c r="C19" i="4"/>
  <c r="D17" i="4"/>
  <c r="B19" i="4"/>
  <c r="C17" i="4"/>
  <c r="K19" i="4"/>
  <c r="M19" i="4"/>
  <c r="B17" i="4"/>
  <c r="L19" i="4"/>
  <c r="M17" i="4"/>
  <c r="I19" i="4"/>
  <c r="J17" i="4"/>
  <c r="G22" i="4"/>
  <c r="H20" i="4"/>
  <c r="J20" i="4"/>
  <c r="F22" i="4"/>
  <c r="G20" i="4"/>
  <c r="E22" i="4"/>
  <c r="F20" i="4"/>
  <c r="D22" i="4"/>
  <c r="E20" i="4"/>
  <c r="C22" i="4"/>
  <c r="D20" i="4"/>
  <c r="B22" i="4"/>
  <c r="C20" i="4"/>
  <c r="M22" i="4"/>
  <c r="B20" i="4"/>
  <c r="L22" i="4"/>
  <c r="M20" i="4"/>
  <c r="J22" i="4"/>
  <c r="K22" i="4"/>
  <c r="L20" i="4"/>
  <c r="H22" i="4"/>
  <c r="I20" i="4"/>
  <c r="K20" i="4"/>
  <c r="I22" i="4"/>
  <c r="F25" i="4"/>
  <c r="G23" i="4"/>
  <c r="J23" i="4"/>
  <c r="E25" i="4"/>
  <c r="F23" i="4"/>
  <c r="D25" i="4"/>
  <c r="E23" i="4"/>
  <c r="I25" i="4"/>
  <c r="I26" i="4" s="1"/>
  <c r="C25" i="4"/>
  <c r="D23" i="4"/>
  <c r="B25" i="4"/>
  <c r="C23" i="4"/>
  <c r="M25" i="4"/>
  <c r="B23" i="4"/>
  <c r="L25" i="4"/>
  <c r="M23" i="4"/>
  <c r="I23" i="4"/>
  <c r="K25" i="4"/>
  <c r="K26" i="4" s="1"/>
  <c r="L23" i="4"/>
  <c r="J25" i="4"/>
  <c r="J26" i="4" s="1"/>
  <c r="K23" i="4"/>
  <c r="H25" i="4"/>
  <c r="G25" i="4"/>
  <c r="G26" i="4" s="1"/>
  <c r="H23" i="4"/>
  <c r="D13" i="4"/>
  <c r="D11" i="4" s="1"/>
  <c r="C13" i="4"/>
  <c r="C11" i="4"/>
  <c r="E10" i="4"/>
  <c r="C13" i="3"/>
  <c r="C11" i="3"/>
  <c r="D10" i="3"/>
  <c r="E10" i="3"/>
  <c r="F10" i="3"/>
  <c r="G10" i="3"/>
  <c r="B13" i="3"/>
  <c r="B11" i="3" s="1"/>
  <c r="P23" i="3"/>
  <c r="P20" i="3"/>
  <c r="P17" i="3"/>
  <c r="E13" i="5" l="1"/>
  <c r="E11" i="5" s="1"/>
  <c r="F10" i="5"/>
  <c r="H26" i="5"/>
  <c r="G26" i="5"/>
  <c r="P31" i="5"/>
  <c r="P27" i="5"/>
  <c r="C26" i="5"/>
  <c r="B31" i="5"/>
  <c r="B27" i="5"/>
  <c r="J26" i="5"/>
  <c r="I26" i="5"/>
  <c r="D26" i="5"/>
  <c r="K26" i="5"/>
  <c r="L26" i="5"/>
  <c r="E26" i="5"/>
  <c r="D13" i="5"/>
  <c r="D11" i="5" s="1"/>
  <c r="M26" i="5"/>
  <c r="F26" i="5"/>
  <c r="I31" i="4"/>
  <c r="L26" i="4"/>
  <c r="D26" i="4"/>
  <c r="F26" i="4"/>
  <c r="E13" i="4"/>
  <c r="E11" i="4"/>
  <c r="J31" i="4"/>
  <c r="M26" i="4"/>
  <c r="G31" i="4"/>
  <c r="B26" i="4"/>
  <c r="F10" i="4"/>
  <c r="K31" i="4"/>
  <c r="E26" i="4"/>
  <c r="H26" i="4"/>
  <c r="C26" i="4"/>
  <c r="P31" i="4"/>
  <c r="P27" i="4"/>
  <c r="G13" i="3"/>
  <c r="G11" i="3"/>
  <c r="H10" i="3"/>
  <c r="E13" i="3"/>
  <c r="E11" i="3"/>
  <c r="H19" i="3"/>
  <c r="I17" i="3"/>
  <c r="F19" i="3"/>
  <c r="G17" i="3"/>
  <c r="H17" i="3"/>
  <c r="E19" i="3"/>
  <c r="F17" i="3"/>
  <c r="P26" i="3"/>
  <c r="D19" i="3"/>
  <c r="E17" i="3"/>
  <c r="C19" i="3"/>
  <c r="D17" i="3"/>
  <c r="B19" i="3"/>
  <c r="C17" i="3"/>
  <c r="M19" i="3"/>
  <c r="B17" i="3"/>
  <c r="L19" i="3"/>
  <c r="M17" i="3"/>
  <c r="G19" i="3"/>
  <c r="K19" i="3"/>
  <c r="L17" i="3"/>
  <c r="J19" i="3"/>
  <c r="K17" i="3"/>
  <c r="I19" i="3"/>
  <c r="J17" i="3"/>
  <c r="F13" i="3"/>
  <c r="F11" i="3"/>
  <c r="D13" i="3"/>
  <c r="D11" i="3"/>
  <c r="G22" i="3"/>
  <c r="H20" i="3"/>
  <c r="E22" i="3"/>
  <c r="F20" i="3"/>
  <c r="D22" i="3"/>
  <c r="E20" i="3"/>
  <c r="C22" i="3"/>
  <c r="D20" i="3"/>
  <c r="B22" i="3"/>
  <c r="C20" i="3"/>
  <c r="M22" i="3"/>
  <c r="B20" i="3"/>
  <c r="G20" i="3"/>
  <c r="L22" i="3"/>
  <c r="M20" i="3"/>
  <c r="K22" i="3"/>
  <c r="L20" i="3"/>
  <c r="J22" i="3"/>
  <c r="K20" i="3"/>
  <c r="I22" i="3"/>
  <c r="J20" i="3"/>
  <c r="H22" i="3"/>
  <c r="I20" i="3"/>
  <c r="F22" i="3"/>
  <c r="F25" i="3"/>
  <c r="G23" i="3"/>
  <c r="D25" i="3"/>
  <c r="E23" i="3"/>
  <c r="C25" i="3"/>
  <c r="D23" i="3"/>
  <c r="B25" i="3"/>
  <c r="C23" i="3"/>
  <c r="M25" i="3"/>
  <c r="B23" i="3"/>
  <c r="E25" i="3"/>
  <c r="E26" i="3" s="1"/>
  <c r="L25" i="3"/>
  <c r="L26" i="3" s="1"/>
  <c r="M23" i="3"/>
  <c r="K25" i="3"/>
  <c r="L23" i="3"/>
  <c r="J25" i="3"/>
  <c r="K23" i="3"/>
  <c r="I25" i="3"/>
  <c r="J23" i="3"/>
  <c r="F23" i="3"/>
  <c r="H25" i="3"/>
  <c r="I23" i="3"/>
  <c r="G25" i="3"/>
  <c r="G26" i="3" s="1"/>
  <c r="H23" i="3"/>
  <c r="D27" i="5" l="1"/>
  <c r="D31" i="5"/>
  <c r="I31" i="5"/>
  <c r="J31" i="5"/>
  <c r="B98" i="5"/>
  <c r="B37" i="5"/>
  <c r="B111" i="5" s="1"/>
  <c r="F31" i="5"/>
  <c r="C31" i="5"/>
  <c r="C27" i="5"/>
  <c r="M31" i="5"/>
  <c r="G31" i="5"/>
  <c r="E27" i="5"/>
  <c r="E31" i="5"/>
  <c r="H31" i="5"/>
  <c r="L31" i="5"/>
  <c r="F13" i="5"/>
  <c r="F27" i="5" s="1"/>
  <c r="G10" i="5"/>
  <c r="K31" i="5"/>
  <c r="M31" i="4"/>
  <c r="G98" i="4"/>
  <c r="G37" i="4"/>
  <c r="G111" i="4" s="1"/>
  <c r="J98" i="4"/>
  <c r="J37" i="4"/>
  <c r="J111" i="4" s="1"/>
  <c r="H31" i="4"/>
  <c r="E27" i="4"/>
  <c r="E31" i="4"/>
  <c r="F31" i="4"/>
  <c r="F27" i="4"/>
  <c r="D27" i="4"/>
  <c r="D31" i="4"/>
  <c r="K98" i="4"/>
  <c r="K37" i="4"/>
  <c r="K111" i="4" s="1"/>
  <c r="L31" i="4"/>
  <c r="C31" i="4"/>
  <c r="C27" i="4"/>
  <c r="F13" i="4"/>
  <c r="F11" i="4"/>
  <c r="G10" i="4"/>
  <c r="B31" i="4"/>
  <c r="B27" i="4"/>
  <c r="I98" i="4"/>
  <c r="I37" i="4"/>
  <c r="I111" i="4" s="1"/>
  <c r="I26" i="3"/>
  <c r="C26" i="3"/>
  <c r="J26" i="3"/>
  <c r="K26" i="3"/>
  <c r="F26" i="3"/>
  <c r="L31" i="3"/>
  <c r="G31" i="3"/>
  <c r="G27" i="3"/>
  <c r="E27" i="3"/>
  <c r="E31" i="3"/>
  <c r="H26" i="3"/>
  <c r="M26" i="3"/>
  <c r="B26" i="3"/>
  <c r="H13" i="3"/>
  <c r="H11" i="3" s="1"/>
  <c r="I10" i="3"/>
  <c r="D26" i="3"/>
  <c r="P27" i="3"/>
  <c r="P31" i="3"/>
  <c r="G13" i="5" l="1"/>
  <c r="G27" i="5" s="1"/>
  <c r="H10" i="5"/>
  <c r="F98" i="5"/>
  <c r="F37" i="5"/>
  <c r="F111" i="5" s="1"/>
  <c r="M98" i="5"/>
  <c r="M37" i="5"/>
  <c r="M111" i="5" s="1"/>
  <c r="F11" i="5"/>
  <c r="C98" i="5"/>
  <c r="C37" i="5"/>
  <c r="C111" i="5" s="1"/>
  <c r="L98" i="5"/>
  <c r="L37" i="5"/>
  <c r="L111" i="5" s="1"/>
  <c r="H98" i="5"/>
  <c r="H37" i="5"/>
  <c r="H111" i="5" s="1"/>
  <c r="B113" i="5"/>
  <c r="B99" i="5"/>
  <c r="E98" i="5"/>
  <c r="E37" i="5"/>
  <c r="E111" i="5" s="1"/>
  <c r="J98" i="5"/>
  <c r="J37" i="5"/>
  <c r="J111" i="5" s="1"/>
  <c r="G37" i="5"/>
  <c r="G111" i="5" s="1"/>
  <c r="G98" i="5"/>
  <c r="I98" i="5"/>
  <c r="I37" i="5"/>
  <c r="I111" i="5" s="1"/>
  <c r="K98" i="5"/>
  <c r="K37" i="5"/>
  <c r="K111" i="5" s="1"/>
  <c r="D37" i="5"/>
  <c r="D111" i="5" s="1"/>
  <c r="D98" i="5"/>
  <c r="G13" i="4"/>
  <c r="G27" i="4" s="1"/>
  <c r="G11" i="4"/>
  <c r="H10" i="4"/>
  <c r="B98" i="4"/>
  <c r="B37" i="4"/>
  <c r="B111" i="4" s="1"/>
  <c r="F98" i="4"/>
  <c r="F37" i="4"/>
  <c r="F111" i="4" s="1"/>
  <c r="E37" i="4"/>
  <c r="E111" i="4" s="1"/>
  <c r="E98" i="4"/>
  <c r="H98" i="4"/>
  <c r="H37" i="4"/>
  <c r="H111" i="4" s="1"/>
  <c r="C98" i="4"/>
  <c r="C37" i="4"/>
  <c r="C111" i="4" s="1"/>
  <c r="L98" i="4"/>
  <c r="L37" i="4"/>
  <c r="L111" i="4" s="1"/>
  <c r="J113" i="4"/>
  <c r="K113" i="4"/>
  <c r="G113" i="4"/>
  <c r="I113" i="4"/>
  <c r="D37" i="4"/>
  <c r="D111" i="4" s="1"/>
  <c r="D98" i="4"/>
  <c r="M98" i="4"/>
  <c r="M37" i="4"/>
  <c r="M111" i="4" s="1"/>
  <c r="H31" i="3"/>
  <c r="H27" i="3"/>
  <c r="E98" i="3"/>
  <c r="E37" i="3"/>
  <c r="E111" i="3" s="1"/>
  <c r="G98" i="3"/>
  <c r="G37" i="3"/>
  <c r="G111" i="3" s="1"/>
  <c r="D27" i="3"/>
  <c r="D31" i="3"/>
  <c r="L98" i="3"/>
  <c r="L37" i="3"/>
  <c r="L111" i="3" s="1"/>
  <c r="I13" i="3"/>
  <c r="I11" i="3" s="1"/>
  <c r="J10" i="3"/>
  <c r="F31" i="3"/>
  <c r="F27" i="3"/>
  <c r="K31" i="3"/>
  <c r="J31" i="3"/>
  <c r="B27" i="3"/>
  <c r="B31" i="3"/>
  <c r="C31" i="3"/>
  <c r="C27" i="3"/>
  <c r="M31" i="3"/>
  <c r="I31" i="3"/>
  <c r="I27" i="3"/>
  <c r="C113" i="5" l="1"/>
  <c r="K113" i="5"/>
  <c r="H113" i="5"/>
  <c r="L113" i="5"/>
  <c r="J113" i="5"/>
  <c r="C15" i="5"/>
  <c r="C110" i="5" s="1"/>
  <c r="B114" i="5"/>
  <c r="I113" i="5"/>
  <c r="G113" i="5"/>
  <c r="M113" i="5"/>
  <c r="E113" i="5"/>
  <c r="D113" i="5"/>
  <c r="F113" i="5"/>
  <c r="H13" i="5"/>
  <c r="H27" i="5" s="1"/>
  <c r="I10" i="5"/>
  <c r="G11" i="5"/>
  <c r="E113" i="4"/>
  <c r="H113" i="4"/>
  <c r="C113" i="4"/>
  <c r="F113" i="4"/>
  <c r="B113" i="4"/>
  <c r="B99" i="4"/>
  <c r="H13" i="4"/>
  <c r="H27" i="4" s="1"/>
  <c r="H11" i="4"/>
  <c r="I10" i="4"/>
  <c r="M113" i="4"/>
  <c r="L113" i="4"/>
  <c r="D113" i="4"/>
  <c r="E113" i="3"/>
  <c r="I98" i="3"/>
  <c r="I37" i="3"/>
  <c r="I111" i="3" s="1"/>
  <c r="F98" i="3"/>
  <c r="F37" i="3"/>
  <c r="F111" i="3" s="1"/>
  <c r="J13" i="3"/>
  <c r="J27" i="3" s="1"/>
  <c r="J11" i="3"/>
  <c r="K10" i="3"/>
  <c r="H98" i="3"/>
  <c r="H37" i="3"/>
  <c r="H111" i="3" s="1"/>
  <c r="M98" i="3"/>
  <c r="M37" i="3"/>
  <c r="M111" i="3" s="1"/>
  <c r="G113" i="3"/>
  <c r="K98" i="3"/>
  <c r="K37" i="3"/>
  <c r="K111" i="3" s="1"/>
  <c r="C98" i="3"/>
  <c r="C37" i="3"/>
  <c r="C111" i="3" s="1"/>
  <c r="B98" i="3"/>
  <c r="B37" i="3"/>
  <c r="B111" i="3" s="1"/>
  <c r="L113" i="3"/>
  <c r="D98" i="3"/>
  <c r="D37" i="3"/>
  <c r="D111" i="3" s="1"/>
  <c r="J98" i="3"/>
  <c r="J37" i="3"/>
  <c r="J111" i="3" s="1"/>
  <c r="I13" i="5" l="1"/>
  <c r="I27" i="5" s="1"/>
  <c r="I11" i="5"/>
  <c r="J10" i="5"/>
  <c r="H11" i="5"/>
  <c r="C99" i="5"/>
  <c r="C15" i="4"/>
  <c r="B114" i="4"/>
  <c r="I13" i="4"/>
  <c r="I27" i="4" s="1"/>
  <c r="I11" i="4"/>
  <c r="J10" i="4"/>
  <c r="D113" i="3"/>
  <c r="M113" i="3"/>
  <c r="H113" i="3"/>
  <c r="K13" i="3"/>
  <c r="K27" i="3" s="1"/>
  <c r="L10" i="3"/>
  <c r="B113" i="3"/>
  <c r="B99" i="3"/>
  <c r="C113" i="3"/>
  <c r="F113" i="3"/>
  <c r="K113" i="3"/>
  <c r="I113" i="3"/>
  <c r="J113" i="3"/>
  <c r="C114" i="5" l="1"/>
  <c r="D15" i="5"/>
  <c r="J13" i="5"/>
  <c r="J27" i="5" s="1"/>
  <c r="J11" i="5"/>
  <c r="K10" i="5"/>
  <c r="J13" i="4"/>
  <c r="J27" i="4" s="1"/>
  <c r="J11" i="4"/>
  <c r="K10" i="4"/>
  <c r="C110" i="4"/>
  <c r="C99" i="4"/>
  <c r="C15" i="3"/>
  <c r="B114" i="3"/>
  <c r="L13" i="3"/>
  <c r="L27" i="3" s="1"/>
  <c r="L11" i="3"/>
  <c r="M10" i="3"/>
  <c r="K11" i="3"/>
  <c r="D110" i="5" l="1"/>
  <c r="D99" i="5"/>
  <c r="K13" i="5"/>
  <c r="K27" i="5" s="1"/>
  <c r="K11" i="5"/>
  <c r="L10" i="5"/>
  <c r="D15" i="4"/>
  <c r="C114" i="4"/>
  <c r="K13" i="4"/>
  <c r="K27" i="4" s="1"/>
  <c r="L10" i="4"/>
  <c r="M13" i="3"/>
  <c r="M27" i="3" s="1"/>
  <c r="M11" i="3"/>
  <c r="C110" i="3"/>
  <c r="C99" i="3"/>
  <c r="L13" i="5" l="1"/>
  <c r="L27" i="5" s="1"/>
  <c r="L11" i="5"/>
  <c r="M10" i="5"/>
  <c r="E15" i="5"/>
  <c r="D114" i="5"/>
  <c r="D110" i="4"/>
  <c r="D99" i="4"/>
  <c r="L13" i="4"/>
  <c r="L27" i="4" s="1"/>
  <c r="M10" i="4"/>
  <c r="K11" i="4"/>
  <c r="D15" i="3"/>
  <c r="C114" i="3"/>
  <c r="E110" i="5" l="1"/>
  <c r="E99" i="5"/>
  <c r="M13" i="5"/>
  <c r="M27" i="5" s="1"/>
  <c r="M11" i="5"/>
  <c r="M13" i="4"/>
  <c r="M27" i="4" s="1"/>
  <c r="M11" i="4"/>
  <c r="L11" i="4"/>
  <c r="E15" i="4"/>
  <c r="D114" i="4"/>
  <c r="D110" i="3"/>
  <c r="D99" i="3"/>
  <c r="F15" i="5" l="1"/>
  <c r="E114" i="5"/>
  <c r="E110" i="4"/>
  <c r="E99" i="4"/>
  <c r="E15" i="3"/>
  <c r="D114" i="3"/>
  <c r="F110" i="5" l="1"/>
  <c r="F99" i="5"/>
  <c r="F15" i="4"/>
  <c r="E114" i="4"/>
  <c r="E110" i="3"/>
  <c r="E99" i="3"/>
  <c r="G15" i="5" l="1"/>
  <c r="F114" i="5"/>
  <c r="F110" i="4"/>
  <c r="F99" i="4"/>
  <c r="F15" i="3"/>
  <c r="E114" i="3"/>
  <c r="G110" i="5" l="1"/>
  <c r="G99" i="5"/>
  <c r="G15" i="4"/>
  <c r="F114" i="4"/>
  <c r="F110" i="3"/>
  <c r="F99" i="3"/>
  <c r="H15" i="5" l="1"/>
  <c r="G114" i="5"/>
  <c r="G110" i="4"/>
  <c r="G99" i="4"/>
  <c r="G15" i="3"/>
  <c r="F114" i="3"/>
  <c r="H110" i="5" l="1"/>
  <c r="H99" i="5"/>
  <c r="H15" i="4"/>
  <c r="G114" i="4"/>
  <c r="G110" i="3"/>
  <c r="G99" i="3"/>
  <c r="I15" i="5" l="1"/>
  <c r="H114" i="5"/>
  <c r="H110" i="4"/>
  <c r="H99" i="4"/>
  <c r="G114" i="3"/>
  <c r="H15" i="3"/>
  <c r="I110" i="5" l="1"/>
  <c r="I99" i="5"/>
  <c r="I15" i="4"/>
  <c r="H114" i="4"/>
  <c r="H110" i="3"/>
  <c r="H99" i="3"/>
  <c r="I114" i="5" l="1"/>
  <c r="J15" i="5"/>
  <c r="I110" i="4"/>
  <c r="I99" i="4"/>
  <c r="I15" i="3"/>
  <c r="H114" i="3"/>
  <c r="J110" i="5" l="1"/>
  <c r="J99" i="5"/>
  <c r="I114" i="4"/>
  <c r="J15" i="4"/>
  <c r="I110" i="3"/>
  <c r="I99" i="3"/>
  <c r="J114" i="5" l="1"/>
  <c r="K15" i="5"/>
  <c r="J110" i="4"/>
  <c r="J99" i="4"/>
  <c r="I114" i="3"/>
  <c r="J15" i="3"/>
  <c r="K110" i="5" l="1"/>
  <c r="K99" i="5"/>
  <c r="J114" i="4"/>
  <c r="K15" i="4"/>
  <c r="J110" i="3"/>
  <c r="J99" i="3"/>
  <c r="K114" i="5" l="1"/>
  <c r="L15" i="5"/>
  <c r="K110" i="4"/>
  <c r="K99" i="4"/>
  <c r="J114" i="3"/>
  <c r="K15" i="3"/>
  <c r="L110" i="5" l="1"/>
  <c r="L99" i="5"/>
  <c r="K114" i="4"/>
  <c r="L15" i="4"/>
  <c r="K110" i="3"/>
  <c r="K99" i="3"/>
  <c r="L114" i="5" l="1"/>
  <c r="M15" i="5"/>
  <c r="L110" i="4"/>
  <c r="L99" i="4"/>
  <c r="K114" i="3"/>
  <c r="L15" i="3"/>
  <c r="M110" i="5" l="1"/>
  <c r="M99" i="5"/>
  <c r="M114" i="5" s="1"/>
  <c r="L114" i="4"/>
  <c r="M15" i="4"/>
  <c r="L110" i="3"/>
  <c r="L99" i="3"/>
  <c r="M110" i="4" l="1"/>
  <c r="M99" i="4"/>
  <c r="M114" i="4" s="1"/>
  <c r="L114" i="3"/>
  <c r="M15" i="3"/>
  <c r="M110" i="3" l="1"/>
  <c r="M99" i="3"/>
  <c r="M114" i="3" s="1"/>
  <c r="C20" i="2"/>
  <c r="E48" i="2"/>
  <c r="F48" i="2" s="1"/>
  <c r="G48" i="2" s="1"/>
  <c r="H48" i="2" s="1"/>
  <c r="I48" i="2" s="1"/>
  <c r="J48" i="2" s="1"/>
  <c r="K48" i="2" s="1"/>
  <c r="D143" i="2" l="1"/>
  <c r="D138" i="2"/>
  <c r="D133" i="2"/>
  <c r="D128" i="2"/>
  <c r="D123" i="2"/>
  <c r="D118" i="2"/>
  <c r="D110" i="2"/>
  <c r="D113" i="2" s="1"/>
  <c r="C79" i="2"/>
  <c r="K60" i="2"/>
  <c r="J60" i="2"/>
  <c r="I60" i="2"/>
  <c r="H60" i="2"/>
  <c r="G60" i="2"/>
  <c r="F60" i="2"/>
  <c r="K52" i="2"/>
  <c r="J52" i="2"/>
  <c r="J53" i="2" s="1"/>
  <c r="I52" i="2"/>
  <c r="H52" i="2"/>
  <c r="G52" i="2"/>
  <c r="G53" i="2" s="1"/>
  <c r="F52" i="2"/>
  <c r="F53" i="2" s="1"/>
  <c r="E52" i="2"/>
  <c r="D52" i="2"/>
  <c r="C52" i="2"/>
  <c r="B52" i="2"/>
  <c r="K50" i="2"/>
  <c r="J50" i="2"/>
  <c r="I50" i="2"/>
  <c r="H50" i="2"/>
  <c r="G50" i="2"/>
  <c r="F50" i="2"/>
  <c r="E50" i="2"/>
  <c r="D50" i="2"/>
  <c r="C50" i="2"/>
  <c r="B50" i="2"/>
  <c r="C39" i="2"/>
  <c r="D39" i="2" s="1"/>
  <c r="C38" i="2"/>
  <c r="D38" i="2" s="1"/>
  <c r="C37" i="2"/>
  <c r="D37" i="2" s="1"/>
  <c r="K30" i="2"/>
  <c r="J30" i="2"/>
  <c r="I30" i="2"/>
  <c r="H30" i="2"/>
  <c r="G30" i="2"/>
  <c r="F30" i="2"/>
  <c r="E30" i="2"/>
  <c r="D30" i="2"/>
  <c r="C30" i="2"/>
  <c r="B30" i="2"/>
  <c r="B43" i="2" s="1"/>
  <c r="K29" i="2"/>
  <c r="J29" i="2"/>
  <c r="I29" i="2"/>
  <c r="H29" i="2"/>
  <c r="G29" i="2"/>
  <c r="F29" i="2"/>
  <c r="E29" i="2"/>
  <c r="D29" i="2"/>
  <c r="C29" i="2"/>
  <c r="B29" i="2"/>
  <c r="B42" i="2" s="1"/>
  <c r="K28" i="2"/>
  <c r="J28" i="2"/>
  <c r="I28" i="2"/>
  <c r="H28" i="2"/>
  <c r="G28" i="2"/>
  <c r="F28" i="2"/>
  <c r="E28" i="2"/>
  <c r="D28" i="2"/>
  <c r="C28" i="2"/>
  <c r="B28" i="2"/>
  <c r="B41" i="2" s="1"/>
  <c r="K7" i="2"/>
  <c r="J7" i="2"/>
  <c r="I7" i="2"/>
  <c r="H7" i="2"/>
  <c r="G7" i="2"/>
  <c r="F7" i="2"/>
  <c r="E7" i="2"/>
  <c r="D7" i="2"/>
  <c r="C7" i="2"/>
  <c r="B7" i="2"/>
  <c r="B53" i="2" l="1"/>
  <c r="F84" i="2"/>
  <c r="C53" i="2"/>
  <c r="C84" i="2" s="1"/>
  <c r="D53" i="2"/>
  <c r="D84" i="2" s="1"/>
  <c r="E53" i="2"/>
  <c r="E84" i="2" s="1"/>
  <c r="H53" i="2"/>
  <c r="H84" i="2" s="1"/>
  <c r="I53" i="2"/>
  <c r="I84" i="2" s="1"/>
  <c r="G84" i="2"/>
  <c r="J84" i="2"/>
  <c r="K53" i="2"/>
  <c r="K84" i="2" s="1"/>
  <c r="C42" i="2"/>
  <c r="C43" i="2"/>
  <c r="C41" i="2"/>
  <c r="F37" i="2"/>
  <c r="F41" i="2" s="1"/>
  <c r="E37" i="2"/>
  <c r="E41" i="2" s="1"/>
  <c r="I37" i="2"/>
  <c r="I41" i="2" s="1"/>
  <c r="D41" i="2"/>
  <c r="H37" i="2"/>
  <c r="H41" i="2" s="1"/>
  <c r="G37" i="2"/>
  <c r="G41" i="2" s="1"/>
  <c r="K37" i="2"/>
  <c r="K41" i="2" s="1"/>
  <c r="J37" i="2"/>
  <c r="J41" i="2" s="1"/>
  <c r="I38" i="2"/>
  <c r="I42" i="2" s="1"/>
  <c r="K38" i="2"/>
  <c r="K42" i="2" s="1"/>
  <c r="H38" i="2"/>
  <c r="H42" i="2" s="1"/>
  <c r="G38" i="2"/>
  <c r="G42" i="2" s="1"/>
  <c r="F38" i="2"/>
  <c r="F42" i="2" s="1"/>
  <c r="J38" i="2"/>
  <c r="J42" i="2" s="1"/>
  <c r="E38" i="2"/>
  <c r="E42" i="2" s="1"/>
  <c r="K39" i="2"/>
  <c r="K43" i="2" s="1"/>
  <c r="J39" i="2"/>
  <c r="J43" i="2" s="1"/>
  <c r="I39" i="2"/>
  <c r="I43" i="2" s="1"/>
  <c r="H39" i="2"/>
  <c r="H43" i="2" s="1"/>
  <c r="G39" i="2"/>
  <c r="G43" i="2" s="1"/>
  <c r="F39" i="2"/>
  <c r="F43" i="2" s="1"/>
  <c r="E39" i="2"/>
  <c r="E43" i="2" s="1"/>
  <c r="D43" i="2"/>
  <c r="B4" i="2"/>
  <c r="B9" i="2" s="1"/>
  <c r="D42" i="2"/>
  <c r="B45" i="2"/>
  <c r="B84" i="2" s="1"/>
  <c r="C4" i="2" l="1"/>
  <c r="C9" i="2" s="1"/>
  <c r="J4" i="2"/>
  <c r="D4" i="2"/>
  <c r="F4" i="2"/>
  <c r="I4" i="2"/>
  <c r="K4" i="2"/>
  <c r="H4" i="2"/>
  <c r="G4" i="2"/>
  <c r="E4" i="2"/>
  <c r="B12" i="2"/>
  <c r="B10" i="2" l="1"/>
  <c r="B24" i="2" s="1"/>
  <c r="B16" i="2"/>
  <c r="B14" i="2"/>
  <c r="B18" i="2"/>
  <c r="C12" i="2"/>
  <c r="D9" i="2"/>
  <c r="D12" i="2" s="1"/>
  <c r="D14" i="2" l="1"/>
  <c r="D16" i="2"/>
  <c r="D18" i="2"/>
  <c r="C16" i="2"/>
  <c r="C18" i="2"/>
  <c r="C14" i="2"/>
  <c r="E9" i="2"/>
  <c r="E12" i="2" s="1"/>
  <c r="C10" i="2"/>
  <c r="C24" i="2" s="1"/>
  <c r="B20" i="2"/>
  <c r="D10" i="2"/>
  <c r="D24" i="2" s="1"/>
  <c r="C21" i="2" l="1"/>
  <c r="E14" i="2"/>
  <c r="E18" i="2"/>
  <c r="E16" i="2"/>
  <c r="F9" i="2"/>
  <c r="G9" i="2" s="1"/>
  <c r="H9" i="2" s="1"/>
  <c r="E10" i="2"/>
  <c r="E24" i="2" s="1"/>
  <c r="D20" i="2"/>
  <c r="B21" i="2"/>
  <c r="B25" i="2"/>
  <c r="B85" i="2" s="1"/>
  <c r="B86" i="2" s="1"/>
  <c r="C25" i="2" l="1"/>
  <c r="C85" i="2" s="1"/>
  <c r="C86" i="2" s="1"/>
  <c r="C87" i="2" s="1"/>
  <c r="B87" i="2"/>
  <c r="G12" i="2"/>
  <c r="F12" i="2"/>
  <c r="E20" i="2"/>
  <c r="E21" i="2" s="1"/>
  <c r="D21" i="2"/>
  <c r="D25" i="2"/>
  <c r="D85" i="2" s="1"/>
  <c r="D86" i="2" s="1"/>
  <c r="H12" i="2"/>
  <c r="I9" i="2"/>
  <c r="H10" i="2" l="1"/>
  <c r="H24" i="2" s="1"/>
  <c r="H18" i="2"/>
  <c r="H16" i="2"/>
  <c r="H14" i="2"/>
  <c r="F14" i="2"/>
  <c r="F16" i="2"/>
  <c r="F18" i="2"/>
  <c r="F20" i="2" s="1"/>
  <c r="G10" i="2"/>
  <c r="G24" i="2" s="1"/>
  <c r="G14" i="2"/>
  <c r="G16" i="2"/>
  <c r="G18" i="2"/>
  <c r="D87" i="2"/>
  <c r="F10" i="2"/>
  <c r="F24" i="2" s="1"/>
  <c r="E25" i="2"/>
  <c r="E85" i="2" s="1"/>
  <c r="E86" i="2" s="1"/>
  <c r="I12" i="2"/>
  <c r="J9" i="2"/>
  <c r="I18" i="2" l="1"/>
  <c r="I14" i="2"/>
  <c r="I16" i="2"/>
  <c r="G20" i="2"/>
  <c r="G25" i="2" s="1"/>
  <c r="G85" i="2" s="1"/>
  <c r="G86" i="2" s="1"/>
  <c r="F21" i="2"/>
  <c r="F25" i="2"/>
  <c r="F85" i="2" s="1"/>
  <c r="E87" i="2"/>
  <c r="H20" i="2"/>
  <c r="H21" i="2" s="1"/>
  <c r="J12" i="2"/>
  <c r="K9" i="2"/>
  <c r="I10" i="2"/>
  <c r="I24" i="2" s="1"/>
  <c r="F86" i="2" l="1"/>
  <c r="J18" i="2"/>
  <c r="J14" i="2"/>
  <c r="J16" i="2"/>
  <c r="G21" i="2"/>
  <c r="F87" i="2"/>
  <c r="H25" i="2"/>
  <c r="H85" i="2" s="1"/>
  <c r="H86" i="2" s="1"/>
  <c r="K12" i="2"/>
  <c r="J10" i="2"/>
  <c r="J24" i="2" s="1"/>
  <c r="I20" i="2"/>
  <c r="G87" i="2" l="1"/>
  <c r="K18" i="2"/>
  <c r="K14" i="2"/>
  <c r="K16" i="2"/>
  <c r="H87" i="2"/>
  <c r="J20" i="2"/>
  <c r="J21" i="2" s="1"/>
  <c r="I25" i="2"/>
  <c r="I85" i="2" s="1"/>
  <c r="I86" i="2" s="1"/>
  <c r="I21" i="2"/>
  <c r="K10" i="2"/>
  <c r="K24" i="2" s="1"/>
  <c r="I87" i="2" l="1"/>
  <c r="J25" i="2"/>
  <c r="J85" i="2" s="1"/>
  <c r="K20" i="2"/>
  <c r="K21" i="2" s="1"/>
  <c r="J86" i="2" l="1"/>
  <c r="J87" i="2" s="1"/>
  <c r="K25" i="2"/>
  <c r="K85" i="2" s="1"/>
  <c r="K86" i="2" s="1"/>
  <c r="K87" i="2" s="1"/>
</calcChain>
</file>

<file path=xl/sharedStrings.xml><?xml version="1.0" encoding="utf-8"?>
<sst xmlns="http://schemas.openxmlformats.org/spreadsheetml/2006/main" count="825" uniqueCount="407">
  <si>
    <t>Market Launches:</t>
  </si>
  <si>
    <t>US</t>
  </si>
  <si>
    <t>UK</t>
  </si>
  <si>
    <t>AUS</t>
  </si>
  <si>
    <t>CAN</t>
  </si>
  <si>
    <t>EU</t>
  </si>
  <si>
    <t>NZ</t>
  </si>
  <si>
    <t>IND</t>
  </si>
  <si>
    <t>GLOBE</t>
  </si>
  <si>
    <t>Year 1</t>
  </si>
  <si>
    <t>Year 8</t>
  </si>
  <si>
    <t>Total Users from marketing</t>
  </si>
  <si>
    <t>Organic Growth rate</t>
  </si>
  <si>
    <t>Churn rate</t>
  </si>
  <si>
    <t>Net Organic Rate</t>
  </si>
  <si>
    <t>Free Users</t>
  </si>
  <si>
    <t>Paid User %</t>
  </si>
  <si>
    <t xml:space="preserve">Paid Users </t>
  </si>
  <si>
    <t>Revenue</t>
  </si>
  <si>
    <t>$5.99/week</t>
  </si>
  <si>
    <t>$13.99/month</t>
  </si>
  <si>
    <t>ARPPU</t>
  </si>
  <si>
    <t>Ad Rev/Free User</t>
  </si>
  <si>
    <t>Ad Revenue</t>
  </si>
  <si>
    <t>Total Revenue</t>
  </si>
  <si>
    <t>Marketing Calculation</t>
  </si>
  <si>
    <t>X Ads (25%)</t>
  </si>
  <si>
    <t>Influencers (50%)</t>
  </si>
  <si>
    <t>Content Marketing (25%)</t>
  </si>
  <si>
    <t>% Allocation</t>
  </si>
  <si>
    <t>Reduction in CPI</t>
  </si>
  <si>
    <t xml:space="preserve">X Ads </t>
  </si>
  <si>
    <t xml:space="preserve">Influencers </t>
  </si>
  <si>
    <t>Content Marketing</t>
  </si>
  <si>
    <t>Users Acquired</t>
  </si>
  <si>
    <t>Expenses</t>
  </si>
  <si>
    <t>Total Marketing</t>
  </si>
  <si>
    <t>Staff</t>
  </si>
  <si>
    <t>Support Staff (Offshore)</t>
  </si>
  <si>
    <t>Developer (Offshore)</t>
  </si>
  <si>
    <t>Total Staff Expense</t>
  </si>
  <si>
    <t>Legal/Compliance</t>
  </si>
  <si>
    <t>Admin/Overhead</t>
  </si>
  <si>
    <t>Fees</t>
  </si>
  <si>
    <t>App Store Fees</t>
  </si>
  <si>
    <t>Mailgun email system</t>
  </si>
  <si>
    <t>AWS RDS</t>
  </si>
  <si>
    <t>AWS DynamoDB</t>
  </si>
  <si>
    <t>AWS Elasticache</t>
  </si>
  <si>
    <t>AWS EC2 (Optimized)</t>
  </si>
  <si>
    <t>AWS SQS</t>
  </si>
  <si>
    <t>AWS S3</t>
  </si>
  <si>
    <t>AWS CloudFront</t>
  </si>
  <si>
    <t>AWS Cognito</t>
  </si>
  <si>
    <t>AWS SNS</t>
  </si>
  <si>
    <t>AWS AppSync</t>
  </si>
  <si>
    <t>AWS CloudWatch</t>
  </si>
  <si>
    <t>AWS Lambda</t>
  </si>
  <si>
    <t>AWS RDS + S3 Vers.</t>
  </si>
  <si>
    <t>AWS EventBridge</t>
  </si>
  <si>
    <t>Geoapify (Map)</t>
  </si>
  <si>
    <t>Content Moderation (AWS)</t>
  </si>
  <si>
    <t>Algolia (Adv. Search)</t>
  </si>
  <si>
    <t>Translation API (Azure)</t>
  </si>
  <si>
    <t>Total Expenses</t>
  </si>
  <si>
    <t>Return on 10% equity of $100,000</t>
  </si>
  <si>
    <t xml:space="preserve">Cumulative return </t>
  </si>
  <si>
    <t>Lonely Millennials and Gen Z</t>
  </si>
  <si>
    <t>M&amp;G</t>
  </si>
  <si>
    <t xml:space="preserve">Loneliness </t>
  </si>
  <si>
    <t>Penetration</t>
  </si>
  <si>
    <t>Canada</t>
  </si>
  <si>
    <t>Australia</t>
  </si>
  <si>
    <t>European Union</t>
  </si>
  <si>
    <t>New Zealand</t>
  </si>
  <si>
    <t>India</t>
  </si>
  <si>
    <t>Global</t>
  </si>
  <si>
    <t>Users</t>
  </si>
  <si>
    <t>Assumptions</t>
  </si>
  <si>
    <r>
      <t>Year 2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</si>
  <si>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Year 3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</si>
  <si>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Year 4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</si>
  <si>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Year 5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</si>
  <si>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r>
      <t>Year 6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</si>
  <si>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r>
      <t>Year 7</t>
    </r>
    <r>
      <rPr>
        <b/>
        <vertAlign val="superscript"/>
        <sz val="11"/>
        <color theme="1"/>
        <rFont val="Calibri"/>
        <family val="2"/>
        <scheme val="minor"/>
      </rPr>
      <t>6</t>
    </r>
  </si>
  <si>
    <r>
      <t>Year 9</t>
    </r>
    <r>
      <rPr>
        <b/>
        <vertAlign val="superscript"/>
        <sz val="11"/>
        <color theme="1"/>
        <rFont val="Calibri"/>
        <family val="2"/>
        <scheme val="minor"/>
      </rPr>
      <t>7</t>
    </r>
  </si>
  <si>
    <r>
      <t>Year 10</t>
    </r>
    <r>
      <rPr>
        <b/>
        <vertAlign val="superscript"/>
        <sz val="11"/>
        <color theme="1"/>
        <rFont val="Calibri"/>
        <family val="2"/>
        <scheme val="minor"/>
      </rPr>
      <t>8</t>
    </r>
  </si>
  <si>
    <r>
      <t>Total Users</t>
    </r>
    <r>
      <rPr>
        <b/>
        <vertAlign val="superscript"/>
        <sz val="11"/>
        <color theme="1"/>
        <rFont val="Calibri"/>
        <family val="2"/>
        <scheme val="minor"/>
      </rPr>
      <t>9</t>
    </r>
  </si>
  <si>
    <r>
      <t>Subscription Revenue</t>
    </r>
    <r>
      <rPr>
        <b/>
        <vertAlign val="superscript"/>
        <sz val="11"/>
        <color theme="1"/>
        <rFont val="Calibri"/>
        <family val="2"/>
        <scheme val="minor"/>
      </rPr>
      <t>10</t>
    </r>
  </si>
  <si>
    <r>
      <t>Marketing (Input Total)</t>
    </r>
    <r>
      <rPr>
        <b/>
        <vertAlign val="superscript"/>
        <sz val="11"/>
        <color theme="1"/>
        <rFont val="Calibri"/>
        <family val="2"/>
        <scheme val="minor"/>
      </rPr>
      <t>11</t>
    </r>
  </si>
  <si>
    <r>
      <t>CPI</t>
    </r>
    <r>
      <rPr>
        <b/>
        <vertAlign val="superscript"/>
        <sz val="11"/>
        <color theme="1"/>
        <rFont val="Calibri"/>
        <family val="2"/>
        <scheme val="minor"/>
      </rPr>
      <t>12</t>
    </r>
  </si>
  <si>
    <r>
      <t># of Devs</t>
    </r>
    <r>
      <rPr>
        <vertAlign val="superscript"/>
        <sz val="11"/>
        <color theme="1"/>
        <rFont val="Calibri"/>
        <family val="2"/>
        <scheme val="minor"/>
      </rPr>
      <t>14</t>
    </r>
  </si>
  <si>
    <r>
      <t># of Agents</t>
    </r>
    <r>
      <rPr>
        <vertAlign val="superscript"/>
        <sz val="11"/>
        <color theme="1"/>
        <rFont val="Calibri"/>
        <family val="2"/>
        <scheme val="minor"/>
      </rPr>
      <t>13</t>
    </r>
  </si>
  <si>
    <r>
      <t>Services</t>
    </r>
    <r>
      <rPr>
        <b/>
        <vertAlign val="superscript"/>
        <sz val="11"/>
        <color theme="1"/>
        <rFont val="Calibri"/>
        <family val="2"/>
        <scheme val="minor"/>
      </rPr>
      <t>15</t>
    </r>
  </si>
  <si>
    <r>
      <t>Stripe</t>
    </r>
    <r>
      <rPr>
        <vertAlign val="superscript"/>
        <sz val="11"/>
        <color theme="1"/>
        <rFont val="Calibri"/>
        <family val="2"/>
        <scheme val="minor"/>
      </rPr>
      <t>16</t>
    </r>
  </si>
  <si>
    <r>
      <t>Net Income (Yearly)</t>
    </r>
    <r>
      <rPr>
        <b/>
        <vertAlign val="superscript"/>
        <sz val="11"/>
        <color theme="1"/>
        <rFont val="Calibri"/>
        <family val="2"/>
        <scheme val="minor"/>
      </rPr>
      <t>17</t>
    </r>
  </si>
  <si>
    <t>1. AWS RDS (PostgreSQL) - Database, Search</t>
  </si>
  <si>
    <r>
      <t>Variables</t>
    </r>
    <r>
      <rPr>
        <sz val="11"/>
        <color theme="1"/>
        <rFont val="Calibri"/>
        <family val="2"/>
        <scheme val="minor"/>
      </rPr>
      <t>:</t>
    </r>
  </si>
  <si>
    <t>U = Number of users</t>
  </si>
  <si>
    <t>I_n = Number of instances</t>
  </si>
  <si>
    <t>I_c = Instance cost/hour (t3.micro: $0.026, m5.large: $0.171)</t>
  </si>
  <si>
    <t>S_u = Storage per user (10MB = 0.01GB)</t>
  </si>
  <si>
    <t>S_c = Storage cost/GB/month ($0.115)</t>
  </si>
  <si>
    <t>M = Months/year (12)</t>
  </si>
  <si>
    <r>
      <t>Formula (Y1–Y2)</t>
    </r>
    <r>
      <rPr>
        <sz val="11"/>
        <color theme="1"/>
        <rFont val="Calibri"/>
        <family val="2"/>
        <scheme val="minor"/>
      </rPr>
      <t>: (I_n * I_c * 24 * 365) + (U * S_u * S_c * M)</t>
    </r>
  </si>
  <si>
    <r>
      <t>Y1</t>
    </r>
    <r>
      <rPr>
        <sz val="11"/>
        <color theme="1"/>
        <rFont val="Calibri"/>
        <family val="2"/>
        <scheme val="minor"/>
      </rPr>
      <t>: "Y1 = (1 * 0.026 * 24 * 365) + (26,180 * 0.01 * 0.115 * 12) = $228 + $361 = $589"</t>
    </r>
  </si>
  <si>
    <r>
      <t>Formula (Y3–Y8)</t>
    </r>
    <r>
      <rPr>
        <sz val="11"/>
        <color theme="1"/>
        <rFont val="Calibri"/>
        <family val="2"/>
        <scheme val="minor"/>
      </rPr>
      <t>: (I_n * I_c * 24 * 365) + (U * S_u * S_c * M)</t>
    </r>
  </si>
  <si>
    <r>
      <t>Y3</t>
    </r>
    <r>
      <rPr>
        <sz val="11"/>
        <color theme="1"/>
        <rFont val="Calibri"/>
        <family val="2"/>
        <scheme val="minor"/>
      </rPr>
      <t>: "Y3 = (1 * 0.171 * 24 * 365) + (141,307 * 0.01 * 0.115 * 12) = $1,496 + $1,950 = $3,446"</t>
    </r>
  </si>
  <si>
    <r>
      <t>Formula (Y9–Y10)</t>
    </r>
    <r>
      <rPr>
        <sz val="11"/>
        <color theme="1"/>
        <rFont val="Calibri"/>
        <family val="2"/>
        <scheme val="minor"/>
      </rPr>
      <t>: (I_n * I_c * 24 * 365) + (U * S_u * S_c * M)</t>
    </r>
  </si>
  <si>
    <r>
      <t>Y10</t>
    </r>
    <r>
      <rPr>
        <sz val="11"/>
        <color theme="1"/>
        <rFont val="Calibri"/>
        <family val="2"/>
        <scheme val="minor"/>
      </rPr>
      <t>: "Y10 = (2 * 0.171 * 24 * 365) + (8,399,053 * 0.01 * 0.115 * 12) = $5,984 + $115,906 = $121,890"</t>
    </r>
  </si>
  <si>
    <t>2. AWS DynamoDB - Database (chat history)</t>
  </si>
  <si>
    <t>W_u = Writes/user/month (250)</t>
  </si>
  <si>
    <t>R_u = Reads/user/month (250)</t>
  </si>
  <si>
    <t>W_c = Write cost/million ($0.09)</t>
  </si>
  <si>
    <t>R_c = Read cost/million ($0.013)</t>
  </si>
  <si>
    <t>S_u = Storage/user (1GB)</t>
  </si>
  <si>
    <t>S_c = Storage cost/GB/month ($0.00125)</t>
  </si>
  <si>
    <r>
      <t>Formula</t>
    </r>
    <r>
      <rPr>
        <sz val="11"/>
        <color theme="1"/>
        <rFont val="Calibri"/>
        <family val="2"/>
        <scheme val="minor"/>
      </rPr>
      <t>: ((W_u * U * M * W_c) / 1,000,000) + ((R_u * U * M * R_c) / 1,000,000) + (U * S_u * S_c * M)</t>
    </r>
  </si>
  <si>
    <r>
      <t>Y1</t>
    </r>
    <r>
      <rPr>
        <sz val="11"/>
        <color theme="1"/>
        <rFont val="Calibri"/>
        <family val="2"/>
        <scheme val="minor"/>
      </rPr>
      <t>: "Y1 = ((250 * 26,180 * 12 * 0.09) / 1,000,000) + ((250 * 26,180 * 12 * 0.013) / 1,000,000) + (26,180 * 1 * 0.00125 * 12) = $7.07 + $1.02 + $392.70 = $401"</t>
    </r>
  </si>
  <si>
    <r>
      <t>Y10</t>
    </r>
    <r>
      <rPr>
        <sz val="11"/>
        <color theme="1"/>
        <rFont val="Calibri"/>
        <family val="2"/>
        <scheme val="minor"/>
      </rPr>
      <t>: "Y10 = ((250 * 8,399,053 * 12 * 0.09) / 1,000,000) + ((250 * 8,399,053 * 12 * 0.013) / 1,000,000) + (8,399,053 * 1 * 0.00125 * 12) = $2,267.74 + $327.53 + $125,985.80 = $128,581"</t>
    </r>
  </si>
  <si>
    <t>3. AWS Elasticache (Redis) - Caching</t>
  </si>
  <si>
    <t>I_n = Number of nodes (1 Y1–Y3, 2 Y4–Y6, 4 Y7–Y8, 8 Y9, 16 Y10)</t>
  </si>
  <si>
    <t>I_c = Instance cost/hour ($0.017 for t3.micro)</t>
  </si>
  <si>
    <t>D_u = Data transfer/user (0.1GB)</t>
  </si>
  <si>
    <t>D_c = Data transfer cost/GB ($0.01)</t>
  </si>
  <si>
    <r>
      <t>Formula (Y1–Y3)</t>
    </r>
    <r>
      <rPr>
        <sz val="11"/>
        <color theme="1"/>
        <rFont val="Calibri"/>
        <family val="2"/>
        <scheme val="minor"/>
      </rPr>
      <t>: (I_n * I_c * 24 * 365) + (U * D_u * D_c * M)</t>
    </r>
  </si>
  <si>
    <r>
      <t>Y1</t>
    </r>
    <r>
      <rPr>
        <sz val="11"/>
        <color theme="1"/>
        <rFont val="Calibri"/>
        <family val="2"/>
        <scheme val="minor"/>
      </rPr>
      <t>: "Y1 = (1 * 0.017 * 24 * 365) + (26,180 * 0.1 * 0.01 * 12) = $149 + $31 = $180"</t>
    </r>
  </si>
  <si>
    <r>
      <t>Formula (Y4–Y10)</t>
    </r>
    <r>
      <rPr>
        <sz val="11"/>
        <color theme="1"/>
        <rFont val="Calibri"/>
        <family val="2"/>
        <scheme val="minor"/>
      </rPr>
      <t>: (I_n * I_c * 24 * 365) + (U * D_u * D_c * M)</t>
    </r>
  </si>
  <si>
    <r>
      <t>Y4</t>
    </r>
    <r>
      <rPr>
        <sz val="11"/>
        <color theme="1"/>
        <rFont val="Calibri"/>
        <family val="2"/>
        <scheme val="minor"/>
      </rPr>
      <t>: "Y4 = (2 * 0.017 * 24 * 365) + (235,867 * 0.1 * 0.01 * 12) = $298 + $283 = $581"</t>
    </r>
  </si>
  <si>
    <r>
      <t>Y10</t>
    </r>
    <r>
      <rPr>
        <sz val="11"/>
        <color theme="1"/>
        <rFont val="Calibri"/>
        <family val="2"/>
        <scheme val="minor"/>
      </rPr>
      <t>: "Y10 = (16 * 0.017 * 24 * 365) + (8,399,053 * 0.1 * 0.01 * 12) = $2,384 + $10,079 = $12,463"</t>
    </r>
  </si>
  <si>
    <t>4. AWS EC2 (Optimized) - Application Server</t>
  </si>
  <si>
    <t>I_n = Number of instances (2 Y1–Y2, 4 Y3–Y4, 6 Y5, 8 Y6–Y8, 10 Y9–Y10)</t>
  </si>
  <si>
    <t>I_c = Instance cost/hour ($0.0208 for t3.medium with RI)</t>
  </si>
  <si>
    <t>E_u = EBS/instance (8GB)</t>
  </si>
  <si>
    <t>E_c = EBS cost/GB/month ($0.10)</t>
  </si>
  <si>
    <t>D_u = Data out/user/month (2MB = 0.002GB)</t>
  </si>
  <si>
    <t>D_c = Data out cost/GB ($0.09)</t>
  </si>
  <si>
    <r>
      <t>Formula</t>
    </r>
    <r>
      <rPr>
        <sz val="11"/>
        <color theme="1"/>
        <rFont val="Calibri"/>
        <family val="2"/>
        <scheme val="minor"/>
      </rPr>
      <t>: (I_n * I_c * 24 * 365) + (I_n * E_u * E_c * M) + (U * D_u * D_c * M)</t>
    </r>
  </si>
  <si>
    <r>
      <t>Y1</t>
    </r>
    <r>
      <rPr>
        <sz val="11"/>
        <color theme="1"/>
        <rFont val="Calibri"/>
        <family val="2"/>
        <scheme val="minor"/>
      </rPr>
      <t>: "Y1 = (2 * 0.0208 * 24 * 365) + (2 * 8 * 0.10 * 12) + (26,180 * 0.002 * 0.09 * 12) = $182 + $19 + $56 = $257"</t>
    </r>
  </si>
  <si>
    <r>
      <t>Y3</t>
    </r>
    <r>
      <rPr>
        <sz val="11"/>
        <color theme="1"/>
        <rFont val="Calibri"/>
        <family val="2"/>
        <scheme val="minor"/>
      </rPr>
      <t>: "Y3 = (4 * 0.0208 * 24 * 365) + (4 * 8 * 0.10 * 12) + (141,307 * 0.002 * 0.09 * 12) = $364 + $38 + $305 = $707"</t>
    </r>
  </si>
  <si>
    <r>
      <t>Y10</t>
    </r>
    <r>
      <rPr>
        <sz val="11"/>
        <color theme="1"/>
        <rFont val="Calibri"/>
        <family val="2"/>
        <scheme val="minor"/>
      </rPr>
      <t>: "Y10 = (10 * 0.0208 * 24 * 365) + (10 * 8 * 0.10 * 12) + (8,399,053 * 0.002 * 0.09 * 12) = $910 + $96 + $18,142 = $19,148"</t>
    </r>
  </si>
  <si>
    <t>5. AWS SQS - Message Queuing</t>
  </si>
  <si>
    <t>R_u = Requests/user/month (250)</t>
  </si>
  <si>
    <t>R_c = Request cost/million ($0.40)</t>
  </si>
  <si>
    <r>
      <t>Formula</t>
    </r>
    <r>
      <rPr>
        <sz val="11"/>
        <color theme="1"/>
        <rFont val="Calibri"/>
        <family val="2"/>
        <scheme val="minor"/>
      </rPr>
      <t>: (R_u * U * M * R_c) / 1,000,000</t>
    </r>
  </si>
  <si>
    <r>
      <t>Y1</t>
    </r>
    <r>
      <rPr>
        <sz val="11"/>
        <color theme="1"/>
        <rFont val="Calibri"/>
        <family val="2"/>
        <scheme val="minor"/>
      </rPr>
      <t>: "Y1 = (250 * 26,180 * 12 * 0.40) / 1,000,000 = $31"</t>
    </r>
  </si>
  <si>
    <r>
      <t>Y10</t>
    </r>
    <r>
      <rPr>
        <sz val="11"/>
        <color theme="1"/>
        <rFont val="Calibri"/>
        <family val="2"/>
        <scheme val="minor"/>
      </rPr>
      <t>: "Y10 = (250 * 8,399,053 * 12 * 0.40) / 1,000,000 = $10,079"</t>
    </r>
  </si>
  <si>
    <t>6. AWS S3 - File Storage</t>
  </si>
  <si>
    <t>S_u = Storage/user (10MB = 0.01GB)</t>
  </si>
  <si>
    <t>S_c = Storage cost/GB/month ($0.023)</t>
  </si>
  <si>
    <t>P_u = PUTs/user/month (1)</t>
  </si>
  <si>
    <t>P_c = PUT cost/1k ($0.005)</t>
  </si>
  <si>
    <t>G_u = GETs/user/month (10)</t>
  </si>
  <si>
    <t>G_c = GET cost/1k ($0.0004)</t>
  </si>
  <si>
    <r>
      <t>Formula</t>
    </r>
    <r>
      <rPr>
        <sz val="11"/>
        <color theme="1"/>
        <rFont val="Calibri"/>
        <family val="2"/>
        <scheme val="minor"/>
      </rPr>
      <t>: (U * S_u * S_c * M) + ((P_u * U * M * P_c) + (G_u * U * M * G_c)) / 1,000</t>
    </r>
  </si>
  <si>
    <r>
      <t>Y1</t>
    </r>
    <r>
      <rPr>
        <sz val="11"/>
        <color theme="1"/>
        <rFont val="Calibri"/>
        <family val="2"/>
        <scheme val="minor"/>
      </rPr>
      <t>: "Y1 = (26,180 * 0.01 * 0.023 * 12) + ((1 * 26,180 * 12 * 0.005) + (10 * 26,180 * 12 * 0.0004)) / 1,000 = $72 + ($1.57 + $1.26) = $75"</t>
    </r>
  </si>
  <si>
    <r>
      <t>Y10</t>
    </r>
    <r>
      <rPr>
        <sz val="11"/>
        <color theme="1"/>
        <rFont val="Calibri"/>
        <family val="2"/>
        <scheme val="minor"/>
      </rPr>
      <t>: "Y10 = (8,399,053 * 0.01 * 0.023 * 12) + ((1 * 8,399,053 * 12 * 0.005) + (10 * 8,399,053 * 12 * 0.0004)) / 1,000 = $23,181 + ($503.94 + $403.15) = $24,088"</t>
    </r>
  </si>
  <si>
    <t>7. AWS CloudFront - CDN</t>
  </si>
  <si>
    <t>D_u = Data/user/month (10GB)</t>
  </si>
  <si>
    <t>D_c = Data cost/GB ($0.085)</t>
  </si>
  <si>
    <t>F = Free data (50GB, Y1 only)</t>
  </si>
  <si>
    <t>R_u = Requests/user/month (10,000)</t>
  </si>
  <si>
    <t>R_c = Request cost/10k ($0.0075)</t>
  </si>
  <si>
    <r>
      <t>Formula</t>
    </r>
    <r>
      <rPr>
        <sz val="11"/>
        <color theme="1"/>
        <rFont val="Calibri"/>
        <family val="2"/>
        <scheme val="minor"/>
      </rPr>
      <t>: ((U * D_u * D_c * M) - F) + (U * R_u * M * R_c) / 10,000</t>
    </r>
  </si>
  <si>
    <r>
      <t>Y1</t>
    </r>
    <r>
      <rPr>
        <sz val="11"/>
        <color theme="1"/>
        <rFont val="Calibri"/>
        <family val="2"/>
        <scheme val="minor"/>
      </rPr>
      <t>: "Y1 = ((26,180 * 10 * 0.085 * 12) - 50) + (26,180 * 10,000 * 12 * 0.0075) / 10,000 = $267 + $23.56 = $290"</t>
    </r>
  </si>
  <si>
    <r>
      <t>Y10</t>
    </r>
    <r>
      <rPr>
        <sz val="11"/>
        <color theme="1"/>
        <rFont val="Calibri"/>
        <family val="2"/>
        <scheme val="minor"/>
      </rPr>
      <t>: "Y10 = ((8,399,053 * 10 * 0.085 * 12) - 0) + (8,399,053 * 10,000 * 12 * 0.0075) / 10,000 = $85,670 + $7,559 = $93,229"</t>
    </r>
  </si>
  <si>
    <t>8. AWS Cognito - Auth/AuthZ</t>
  </si>
  <si>
    <t>U_f = Free MAUs (50,000)</t>
  </si>
  <si>
    <t>C_u = Cost/MAU beyond free ($0.0055)</t>
  </si>
  <si>
    <r>
      <t>Formula</t>
    </r>
    <r>
      <rPr>
        <sz val="11"/>
        <color theme="1"/>
        <rFont val="Calibri"/>
        <family val="2"/>
        <scheme val="minor"/>
      </rPr>
      <t>: MAX(0, U - U_f) * C_u * M</t>
    </r>
  </si>
  <si>
    <r>
      <t>Y1</t>
    </r>
    <r>
      <rPr>
        <sz val="11"/>
        <color theme="1"/>
        <rFont val="Calibri"/>
        <family val="2"/>
        <scheme val="minor"/>
      </rPr>
      <t>: "Y1 = MAX(0, 26,180 - 50,000) * 0.0055 * 12 = $0"</t>
    </r>
  </si>
  <si>
    <r>
      <t>Y10</t>
    </r>
    <r>
      <rPr>
        <sz val="11"/>
        <color theme="1"/>
        <rFont val="Calibri"/>
        <family val="2"/>
        <scheme val="minor"/>
      </rPr>
      <t>: "Y10 = MAX(0, 8,399,053 - 50,000) * 0.0055 * 12 = $46,145"</t>
    </r>
  </si>
  <si>
    <t>9. AWS SNS - Notifications (push)</t>
  </si>
  <si>
    <t>N_u = Notifications/user/month (10)</t>
  </si>
  <si>
    <t>N_c = Cost/million ($0.50)</t>
  </si>
  <si>
    <r>
      <t>Formula</t>
    </r>
    <r>
      <rPr>
        <sz val="11"/>
        <color theme="1"/>
        <rFont val="Calibri"/>
        <family val="2"/>
        <scheme val="minor"/>
      </rPr>
      <t>: (N_u * U * M * N_c) / 1,000,000</t>
    </r>
  </si>
  <si>
    <r>
      <t>Y1</t>
    </r>
    <r>
      <rPr>
        <sz val="11"/>
        <color theme="1"/>
        <rFont val="Calibri"/>
        <family val="2"/>
        <scheme val="minor"/>
      </rPr>
      <t>: "Y1 = (10 * 26,180 * 12 * 0.50) / 1,000,000 = $2"</t>
    </r>
  </si>
  <si>
    <r>
      <t>Y10</t>
    </r>
    <r>
      <rPr>
        <sz val="11"/>
        <color theme="1"/>
        <rFont val="Calibri"/>
        <family val="2"/>
        <scheme val="minor"/>
      </rPr>
      <t>: "Y10 = (10 * 8,399,053 * 12 * 0.50) / 1,000,000 = $428"</t>
    </r>
  </si>
  <si>
    <t>10. Mailgun - Notifications (email)</t>
  </si>
  <si>
    <t>E_u = Emails/user/month (1)</t>
  </si>
  <si>
    <t>E_c = Cost/1k ($0.80)</t>
  </si>
  <si>
    <t>B = Base fee/month ($35 if &gt;50k emails)</t>
  </si>
  <si>
    <t>C = Yearly cap ($420)</t>
  </si>
  <si>
    <r>
      <t>Formula (Y1)</t>
    </r>
    <r>
      <rPr>
        <sz val="11"/>
        <color theme="1"/>
        <rFont val="Calibri"/>
        <family val="2"/>
        <scheme val="minor"/>
      </rPr>
      <t>: (E_u * U * M * E_c) / 1,000</t>
    </r>
  </si>
  <si>
    <r>
      <t>Y1</t>
    </r>
    <r>
      <rPr>
        <sz val="11"/>
        <color theme="1"/>
        <rFont val="Calibri"/>
        <family val="2"/>
        <scheme val="minor"/>
      </rPr>
      <t>: "Y1 = (1 * 26,180 * 12 * 0.80) / 1,000 = $252"</t>
    </r>
  </si>
  <si>
    <r>
      <t>Formula (Y2–Y10)</t>
    </r>
    <r>
      <rPr>
        <sz val="11"/>
        <color theme="1"/>
        <rFont val="Calibri"/>
        <family val="2"/>
        <scheme val="minor"/>
      </rPr>
      <t>: MIN(((E_u * U * M * E_c) / 1,000 + B * M), C)</t>
    </r>
  </si>
  <si>
    <r>
      <t>Y2</t>
    </r>
    <r>
      <rPr>
        <sz val="11"/>
        <color theme="1"/>
        <rFont val="Calibri"/>
        <family val="2"/>
        <scheme val="minor"/>
      </rPr>
      <t>: "Y2 = MIN(((1 * 54,562 * 12 * 0.80) / 1,000 + 35 * 12), 420) = MIN($943, $420) = $420"</t>
    </r>
  </si>
  <si>
    <r>
      <t>Y10</t>
    </r>
    <r>
      <rPr>
        <sz val="11"/>
        <color theme="1"/>
        <rFont val="Calibri"/>
        <family val="2"/>
        <scheme val="minor"/>
      </rPr>
      <t>: "Y10 = MIN(((1 * 8,399,053 * 12 * 0.80) / 1,000 + 35 * 12), 420) = MIN($81,134, $420) = $420"</t>
    </r>
  </si>
  <si>
    <t>11. AWS AppSync - Real-time</t>
  </si>
  <si>
    <t>R_c = Cost/million ($2)</t>
  </si>
  <si>
    <r>
      <t>Y1</t>
    </r>
    <r>
      <rPr>
        <sz val="11"/>
        <color theme="1"/>
        <rFont val="Calibri"/>
        <family val="2"/>
        <scheme val="minor"/>
      </rPr>
      <t>: "Y1 = (250 * 26,180 * 12 * 0.02) / 1,000,000 = $157"</t>
    </r>
  </si>
  <si>
    <r>
      <t>Y10</t>
    </r>
    <r>
      <rPr>
        <sz val="11"/>
        <color theme="1"/>
        <rFont val="Calibri"/>
        <family val="2"/>
        <scheme val="minor"/>
      </rPr>
      <t>: "Y10 = (250 * 8,399,053 * 12 * 2) / 1,000,000 = $50,394"</t>
    </r>
  </si>
  <si>
    <t>12. AWS CloudWatch - Monitoring/Logging</t>
  </si>
  <si>
    <t>L_u = Logs/user (1MB = 0.001GB)</t>
  </si>
  <si>
    <t>L_f = Free logs/month (5GB)</t>
  </si>
  <si>
    <t>L_c = Log cost/GB/month ($0.50)</t>
  </si>
  <si>
    <t>M_n = Metrics (10)</t>
  </si>
  <si>
    <t>M_c = Metric cost/metric/month ($0.30)</t>
  </si>
  <si>
    <t>A_n = Alarms (5)</t>
  </si>
  <si>
    <t>A_c = Alarm cost/alarm/month ($0.10)</t>
  </si>
  <si>
    <r>
      <t>Formula</t>
    </r>
    <r>
      <rPr>
        <sz val="11"/>
        <color theme="1"/>
        <rFont val="Calibri"/>
        <family val="2"/>
        <scheme val="minor"/>
      </rPr>
      <t>: (MAX(0, (U * L_u * M) - (L_f * M)) * L_c * M) + (M_n * M_c * M) + (A_n * A_c * M)</t>
    </r>
  </si>
  <si>
    <r>
      <t>Y1</t>
    </r>
    <r>
      <rPr>
        <sz val="11"/>
        <color theme="1"/>
        <rFont val="Calibri"/>
        <family val="2"/>
        <scheme val="minor"/>
      </rPr>
      <t>: "Y1 = (MAX(0, (26,180 * 0.001 * 12) - (5 * 12)) * 0.50 * 12) + (10 * 0.30 * 12) + (5 * 0.10 * 12) = $0 + $36 + $6 = $42"</t>
    </r>
  </si>
  <si>
    <r>
      <t>Y10</t>
    </r>
    <r>
      <rPr>
        <sz val="11"/>
        <color theme="1"/>
        <rFont val="Calibri"/>
        <family val="2"/>
        <scheme val="minor"/>
      </rPr>
      <t>: "Y10 = (MAX(0, (8,399,053 * 0.001 * 12) - (5 * 12)) * 0.50 * 12) + (10 * 0.30 * 12) + (5 * 0.10 * 12) = $5,934 + $36 + $6 = $5,976"</t>
    </r>
  </si>
  <si>
    <t>13. AWS Lambda - Background Jobs</t>
  </si>
  <si>
    <t>R_u = Requests/user/month (1)</t>
  </si>
  <si>
    <t>R_f = Free requests/month (1,000,000)</t>
  </si>
  <si>
    <t>R_c = Cost/million ($0.20)</t>
  </si>
  <si>
    <t>C_t = Compute time/request (128MB * 1s = 0.128 GB-s)</t>
  </si>
  <si>
    <t>C_f = Free compute/month (400,000 GB-s)</t>
  </si>
  <si>
    <t>C_c = Compute cost/GB-s ($0.00001667)</t>
  </si>
  <si>
    <r>
      <t>Formula</t>
    </r>
    <r>
      <rPr>
        <sz val="11"/>
        <color theme="1"/>
        <rFont val="Calibri"/>
        <family val="2"/>
        <scheme val="minor"/>
      </rPr>
      <t>: (MAX(0, (R_u * U * M) - (R_f * M)) * R_c / 1,000,000) + (MAX(0, (R_u * U * M * C_t) - (C_f * M)) * C_c)</t>
    </r>
  </si>
  <si>
    <r>
      <t>Y1</t>
    </r>
    <r>
      <rPr>
        <sz val="11"/>
        <color theme="1"/>
        <rFont val="Calibri"/>
        <family val="2"/>
        <scheme val="minor"/>
      </rPr>
      <t>: "Y1 = (MAX(0, (1 * 26,180 * 12) - (1,000,000 * 12)) * 0.20 / 1,000,000) + (MAX(0, (1 * 26,180 * 12 * 0.128) - (400,000 * 12)) * 0.00001667) = $0 + $0 = $0"</t>
    </r>
  </si>
  <si>
    <r>
      <t>Y10</t>
    </r>
    <r>
      <rPr>
        <sz val="11"/>
        <color theme="1"/>
        <rFont val="Calibri"/>
        <family val="2"/>
        <scheme val="minor"/>
      </rPr>
      <t>: "Y10 = (MAX(0, (1 * 8,399,053 * 12) - (1,000,000 * 12)) * 0.20 / 1,000,000) + (MAX(0, (1 * 8,399,053 * 12 * 0.128) - (400,000 * 12)) * 0.00001667) = $0 + $2,128 = $2,128"</t>
    </r>
  </si>
  <si>
    <t>14. AWS RDS Snapshots + S3 Versioning - Backup/DR</t>
  </si>
  <si>
    <t>V_u = Versioning storage/user (10MB = 0.01GB)</t>
  </si>
  <si>
    <t>V_c = Versioning cost/GB/month ($0.01)</t>
  </si>
  <si>
    <t>S_u = Snapshot storage/user (10MB = 0.01GB)</t>
  </si>
  <si>
    <t>S_c = Snapshot cost/GB/month ($0.095)</t>
  </si>
  <si>
    <r>
      <t>Formula</t>
    </r>
    <r>
      <rPr>
        <sz val="11"/>
        <color theme="1"/>
        <rFont val="Calibri"/>
        <family val="2"/>
        <scheme val="minor"/>
      </rPr>
      <t>: (U * V_u * V_c * M) + (U * S_u * S_c * M) + (P_u * U * M * P_c) / 1,000</t>
    </r>
  </si>
  <si>
    <r>
      <t>Y1</t>
    </r>
    <r>
      <rPr>
        <sz val="11"/>
        <color theme="1"/>
        <rFont val="Calibri"/>
        <family val="2"/>
        <scheme val="minor"/>
      </rPr>
      <t>: "Y1 = (26,180 * 0.01 * 0.01 * 12) + (26,180 * 0.01 * 0.095 * 12) + (1 * 26,180 * 12 * 0.005) / 1,000 = $31 + $298 + $1.57 = $331"</t>
    </r>
  </si>
  <si>
    <r>
      <t>Y10</t>
    </r>
    <r>
      <rPr>
        <sz val="11"/>
        <color theme="1"/>
        <rFont val="Calibri"/>
        <family val="2"/>
        <scheme val="minor"/>
      </rPr>
      <t>: "Y10 = (8,399,053 * 0.01 * 0.01 * 12) + (8,399,053 * 0.01 * 0.095 * 12) + (1 * 8,399,053 * 12 * 0.005) / 1,000 = $10,079 + $95,747 + $503.94 = $106,330"</t>
    </r>
  </si>
  <si>
    <t>15. AWS EventBridge - Event Bus</t>
  </si>
  <si>
    <t>E_u = Events/user/month (50)</t>
  </si>
  <si>
    <t>E_f = Free events/month (100,000)</t>
  </si>
  <si>
    <t>E_c = Cost/million ($1)</t>
  </si>
  <si>
    <r>
      <t>Formula</t>
    </r>
    <r>
      <rPr>
        <sz val="11"/>
        <color theme="1"/>
        <rFont val="Calibri"/>
        <family val="2"/>
        <scheme val="minor"/>
      </rPr>
      <t>: (MAX(0, (E_u * U * M) - (E_f * M)) * E_c) / 1,000,000</t>
    </r>
  </si>
  <si>
    <r>
      <t>Y1</t>
    </r>
    <r>
      <rPr>
        <sz val="11"/>
        <color theme="1"/>
        <rFont val="Calibri"/>
        <family val="2"/>
        <scheme val="minor"/>
      </rPr>
      <t>: "Y1 = (MAX(0, (50 * 26,180 * 12) - (100,000 * 12)) * 1) / 1,000,000 = $0"</t>
    </r>
  </si>
  <si>
    <r>
      <t>Y10</t>
    </r>
    <r>
      <rPr>
        <sz val="11"/>
        <color theme="1"/>
        <rFont val="Calibri"/>
        <family val="2"/>
        <scheme val="minor"/>
      </rPr>
      <t>: "Y10 = (MAX(0, (50 * 8,399,053 * 12) - (100,000 * 12)) * 1) / 1,000,000 = $504"</t>
    </r>
  </si>
  <si>
    <t>16. Geoapify</t>
  </si>
  <si>
    <t>Input Values Provided</t>
  </si>
  <si>
    <t>G_r = 1 (geocoding requests/user/month)</t>
  </si>
  <si>
    <t>M_v = 220 (map views/user/month, updated from 2)</t>
  </si>
  <si>
    <r>
      <t>Pricing</t>
    </r>
    <r>
      <rPr>
        <sz val="11"/>
        <color theme="1"/>
        <rFont val="Calibri"/>
        <family val="2"/>
        <scheme val="minor"/>
      </rPr>
      <t>:</t>
    </r>
  </si>
  <si>
    <t>Geocoding: $0.00231/1k requests (1 credit/request, $0.00000231/credit, from Geoapify’s credit-based pricing).</t>
  </si>
  <si>
    <t>Map Views: $0.01155/1k map views (5 credits/view, $0.00000231/credit, from Geoapify’s credit-based pricing).</t>
  </si>
  <si>
    <t>Data transfer costs are assumed to be bundled in Geoapify’s credits, so excluded.</t>
  </si>
  <si>
    <r>
      <t>Source</t>
    </r>
    <r>
      <rPr>
        <sz val="11"/>
        <color theme="1"/>
        <rFont val="Calibri"/>
        <family val="2"/>
        <scheme val="minor"/>
      </rPr>
      <t>: Derived from Geoapify’s unmetered plan (€700/month for 500 tile requests/sec), as confirmed previously.</t>
    </r>
  </si>
  <si>
    <t>Variables</t>
  </si>
  <si>
    <t>G_r = Geocoding requests/user/month (1)</t>
  </si>
  <si>
    <t>G_c = Geocoding cost/1k ($0.00231)</t>
  </si>
  <si>
    <t>M_v = Map views/user/month (220)</t>
  </si>
  <si>
    <t>M_c = Map view cost/1k ($0.01155)</t>
  </si>
  <si>
    <t>Formula</t>
  </si>
  <si>
    <t>(U * G_r * M * G_c / 1,000) + (U * M_v * M * M_c / 1,000)</t>
  </si>
  <si>
    <t>Calculations</t>
  </si>
  <si>
    <r>
      <t>Y1</t>
    </r>
    <r>
      <rPr>
        <sz val="11"/>
        <color theme="1"/>
        <rFont val="Calibri"/>
        <family val="2"/>
        <scheme val="minor"/>
      </rPr>
      <t>: "Y1 = (26,180 * 1 * 12 * 0.00231 / 1,000) + (26,180 * 220 * 12 * 0.01155 / 1,000) = $1 + $799 = $800"</t>
    </r>
  </si>
  <si>
    <r>
      <t>Y2</t>
    </r>
    <r>
      <rPr>
        <sz val="11"/>
        <color theme="1"/>
        <rFont val="Calibri"/>
        <family val="2"/>
        <scheme val="minor"/>
      </rPr>
      <t>: "Y2 = (54,562 * 1 * 12 * 0.00231 / 1,000) + (54,562 * 220 * 12 * 0.01155 / 1,000) = $2 + $1,666 = $1,668"</t>
    </r>
  </si>
  <si>
    <r>
      <t>Y3</t>
    </r>
    <r>
      <rPr>
        <sz val="11"/>
        <color theme="1"/>
        <rFont val="Calibri"/>
        <family val="2"/>
        <scheme val="minor"/>
      </rPr>
      <t>: "Y3 = (141,307 * 1 * 12 * 0.00231 / 1,000) + (141,307 * 220 * 12 * 0.01155 / 1,000) = $4 + $4,316 = $4,320"</t>
    </r>
  </si>
  <si>
    <r>
      <t>Y4</t>
    </r>
    <r>
      <rPr>
        <sz val="11"/>
        <color theme="1"/>
        <rFont val="Calibri"/>
        <family val="2"/>
        <scheme val="minor"/>
      </rPr>
      <t>: "Y4 = (235,867 * 1 * 12 * 0.00231 / 1,000) + (235,867 * 220 * 12 * 0.01155 / 1,000) = $7 + $7,202 = $7,209"</t>
    </r>
  </si>
  <si>
    <r>
      <t>Y5</t>
    </r>
    <r>
      <rPr>
        <sz val="11"/>
        <color theme="1"/>
        <rFont val="Calibri"/>
        <family val="2"/>
        <scheme val="minor"/>
      </rPr>
      <t>: "Y5 = (519,211 * 1 * 12 * 0.00231 / 1,000) + (519,211 * 220 * 12 * 0.01155 / 1,000) = $14 + $15,851 = $15,865"</t>
    </r>
  </si>
  <si>
    <r>
      <t>Y6</t>
    </r>
    <r>
      <rPr>
        <sz val="11"/>
        <color theme="1"/>
        <rFont val="Calibri"/>
        <family val="2"/>
        <scheme val="minor"/>
      </rPr>
      <t>: "Y6 = (840,968 * 1 * 12 * 0.00231 / 1,000) + (840,968 * 220 * 12 * 0.01155 / 1,000) = $23 + $25,676 = $25,699"</t>
    </r>
  </si>
  <si>
    <r>
      <t>Y7</t>
    </r>
    <r>
      <rPr>
        <sz val="11"/>
        <color theme="1"/>
        <rFont val="Calibri"/>
        <family val="2"/>
        <scheme val="minor"/>
      </rPr>
      <t>: "Y7 = (1,070,750 * 1 * 12 * 0.00231 / 1,000) + (1,070,750 * 220 * 12 * 0.01155 / 1,000) = $30 + $32,699 = $32,729"</t>
    </r>
  </si>
  <si>
    <r>
      <t>Y8</t>
    </r>
    <r>
      <rPr>
        <sz val="11"/>
        <color theme="1"/>
        <rFont val="Calibri"/>
        <family val="2"/>
        <scheme val="minor"/>
      </rPr>
      <t>: "Y8 = (1,338,707 * 1 * 12 * 0.00231 / 1,000) + (1,338,707 * 220 * 12 * 0.01155 / 1,000) = $37 + $40,885 = $40,922"</t>
    </r>
  </si>
  <si>
    <r>
      <t>Y9</t>
    </r>
    <r>
      <rPr>
        <sz val="11"/>
        <color theme="1"/>
        <rFont val="Calibri"/>
        <family val="2"/>
        <scheme val="minor"/>
      </rPr>
      <t>: "Y9 = (4,019,566 * 1 * 12 * 0.00231 / 1,000) + (4,019,566 * 220 * 12 * 0.01155 / 1,000) = $111 + $122,757 = $122,868"</t>
    </r>
  </si>
  <si>
    <r>
      <t>Y10</t>
    </r>
    <r>
      <rPr>
        <sz val="11"/>
        <color theme="1"/>
        <rFont val="Calibri"/>
        <family val="2"/>
        <scheme val="minor"/>
      </rPr>
      <t>: "Y10 = (8,399,053 * 1 * 12 * 0.00231 / 1,000) + (8,399,053 * 220 * 12 * 0.01155 / 1,000) = $233 + $256,463 = $256,696"</t>
    </r>
  </si>
  <si>
    <t>17. Stripe</t>
  </si>
  <si>
    <t>P_t = 12% (0.12, % of users making transactions, updated from 10%)</t>
  </si>
  <si>
    <t>T_u = 0.25 (transactions/paying user/month, updated from 1)</t>
  </si>
  <si>
    <t>T_a = $21.34 (average transaction amount)</t>
  </si>
  <si>
    <r>
      <t>Pricing</t>
    </r>
    <r>
      <rPr>
        <sz val="11"/>
        <color theme="1"/>
        <rFont val="Calibri"/>
        <family val="2"/>
        <scheme val="minor"/>
      </rPr>
      <t>: 2.9% + $0.30 per successful card charge (from stripe.com).</t>
    </r>
  </si>
  <si>
    <r>
      <t>Source</t>
    </r>
    <r>
      <rPr>
        <sz val="11"/>
        <color theme="1"/>
        <rFont val="Calibri"/>
        <family val="2"/>
        <scheme val="minor"/>
      </rPr>
      <t>: Directly sourced from Stripe’s pricing page.</t>
    </r>
  </si>
  <si>
    <t>P_t = % of users making transactions (0.12)</t>
  </si>
  <si>
    <t>T_u = Transactions/paying user/month (0.25)</t>
  </si>
  <si>
    <t>T_a = Average transaction amount ($21.34)</t>
  </si>
  <si>
    <t>F_p = Percentage fee (2.9% = 0.029)</t>
  </si>
  <si>
    <t>F_f = Fixed fee ($0.30)</t>
  </si>
  <si>
    <t>(U * P_t * T_u * M) * ((T_a * F_p) + F_f)</t>
  </si>
  <si>
    <r>
      <t>Y1</t>
    </r>
    <r>
      <rPr>
        <sz val="11"/>
        <color theme="1"/>
        <rFont val="Calibri"/>
        <family val="2"/>
        <scheme val="minor"/>
      </rPr>
      <t>: "Y1 = (26,180 * 0.12 * 0.25 * 12) * ((21.34 * 0.029) + 0.30) = 9,424 * (0.61886 + 0.30) = 9,424 * 0.91886 = $8,659"</t>
    </r>
  </si>
  <si>
    <r>
      <t>Y2</t>
    </r>
    <r>
      <rPr>
        <sz val="11"/>
        <color theme="1"/>
        <rFont val="Calibri"/>
        <family val="2"/>
        <scheme val="minor"/>
      </rPr>
      <t>: "Y2 = (54,562 * 0.12 * 0.25 * 12) * ((21.34 * 0.029) + 0.30) = 19,642 * (0.61886 + 0.30) = 19,642 * 0.91886 = $18,049"</t>
    </r>
  </si>
  <si>
    <r>
      <t>Y3</t>
    </r>
    <r>
      <rPr>
        <sz val="11"/>
        <color theme="1"/>
        <rFont val="Calibri"/>
        <family val="2"/>
        <scheme val="minor"/>
      </rPr>
      <t>: "Y3 = (141,307 * 0.12 * 0.25 * 12) * ((21.34 * 0.029) + 0.30) = 50,870 * (0.61886 + 0.30) = 50,870 * 0.91886 = $46,743"</t>
    </r>
  </si>
  <si>
    <r>
      <t>Y4</t>
    </r>
    <r>
      <rPr>
        <sz val="11"/>
        <color theme="1"/>
        <rFont val="Calibri"/>
        <family val="2"/>
        <scheme val="minor"/>
      </rPr>
      <t>: "Y4 = (235,867 * 0.12 * 0.25 * 12) * ((21.34 * 0.029) + 0.30) = 84,912 * (0.61886 + 0.30) = 84,912 * 0.91886 = $78,036"</t>
    </r>
  </si>
  <si>
    <r>
      <t>Y5</t>
    </r>
    <r>
      <rPr>
        <sz val="11"/>
        <color theme="1"/>
        <rFont val="Calibri"/>
        <family val="2"/>
        <scheme val="minor"/>
      </rPr>
      <t>: "Y5 = (519,211 * 0.12 * 0.25 * 12) * ((21.34 * 0.029) + 0.30) = 186,916 * (0.61886 + 0.30) = 186,916 * 0.91886 = $171,745"</t>
    </r>
  </si>
  <si>
    <r>
      <t>Y6</t>
    </r>
    <r>
      <rPr>
        <sz val="11"/>
        <color theme="1"/>
        <rFont val="Calibri"/>
        <family val="2"/>
        <scheme val="minor"/>
      </rPr>
      <t>: "Y6 = (840,968 * 0.12 * 0.25 * 12) * ((21.34 * 0.029) + 0.30) = 302,749 * (0.61886 + 0.30) = 302,749 * 0.91886 = $278,181"</t>
    </r>
  </si>
  <si>
    <r>
      <t>Y7</t>
    </r>
    <r>
      <rPr>
        <sz val="11"/>
        <color theme="1"/>
        <rFont val="Calibri"/>
        <family val="2"/>
        <scheme val="minor"/>
      </rPr>
      <t>: "Y7 = (1,070,750 * 0.12 * 0.25 * 12) * ((21.34 * 0.029) + 0.30) = 385,470 * (0.61886 + 0.30) = 385,470 * 0.91886 = $354,170"</t>
    </r>
  </si>
  <si>
    <r>
      <t>Y8</t>
    </r>
    <r>
      <rPr>
        <sz val="11"/>
        <color theme="1"/>
        <rFont val="Calibri"/>
        <family val="2"/>
        <scheme val="minor"/>
      </rPr>
      <t>: "Y8 = (1,338,707 * 0.12 * 0.25 * 12) * ((21.34 * 0.029) + 0.30) = 481,934 * (0.61886 + 0.30) = 481,934 * 0.91886 = $442,838"</t>
    </r>
  </si>
  <si>
    <r>
      <t>Y9</t>
    </r>
    <r>
      <rPr>
        <sz val="11"/>
        <color theme="1"/>
        <rFont val="Calibri"/>
        <family val="2"/>
        <scheme val="minor"/>
      </rPr>
      <t>: "Y9 = (4,019,566 * 0.12 * 0.25 * 12) * ((21.34 * 0.029) + 0.30) = 1,447,044 * (0.61886 + 0.30) = 1,447,044 * 0.91886 = $1,329,596"</t>
    </r>
  </si>
  <si>
    <r>
      <t>Y10</t>
    </r>
    <r>
      <rPr>
        <sz val="11"/>
        <color theme="1"/>
        <rFont val="Calibri"/>
        <family val="2"/>
        <scheme val="minor"/>
      </rPr>
      <t>: "Y10 = (8,399,053 * 0.12 * 0.25 * 12) * ((21.34 * 0.029) + 0.30) = 3,023,659 * (0.61886 + 0.30) = 3,023,659 * 0.91886 = $2,778,314"</t>
    </r>
  </si>
  <si>
    <t>18. Content Moderation</t>
  </si>
  <si>
    <t>C_i = 10 (content items/user/month)</t>
  </si>
  <si>
    <t>T_m = Text + image</t>
  </si>
  <si>
    <t>M_r = 1.5 (requests/item)</t>
  </si>
  <si>
    <r>
      <t>Pricing</t>
    </r>
    <r>
      <rPr>
        <sz val="11"/>
        <color theme="1"/>
        <rFont val="Calibri"/>
        <family val="2"/>
        <scheme val="minor"/>
      </rPr>
      <t>: $0.25/1k text moderations, $0.40/1k image moderations (AWS Rekognition + Comprehend).</t>
    </r>
  </si>
  <si>
    <r>
      <t>Split</t>
    </r>
    <r>
      <rPr>
        <sz val="11"/>
        <color theme="1"/>
        <rFont val="Calibri"/>
        <family val="2"/>
        <scheme val="minor"/>
      </rPr>
      <t>: Since M_r = 1.5, assume 0.75 text + 0.75 image requests per item (even split of the 1.5 total requests).</t>
    </r>
  </si>
  <si>
    <t>C_i = Content items/user/month (10)</t>
  </si>
  <si>
    <t>M_r = Moderation requests/item (1.5, split as 0.75 text + 0.75 image)</t>
  </si>
  <si>
    <t>T_c = Text moderation cost/1k ($0.25)</t>
  </si>
  <si>
    <t>I_c = Image moderation cost/1k ($0.40)</t>
  </si>
  <si>
    <t>(U * C_i * M * (M_r / 2) * T_c / 1,000) + (U * C_i * M * (M_r / 2) * I_c / 1,000)</t>
  </si>
  <si>
    <r>
      <t>Y1</t>
    </r>
    <r>
      <rPr>
        <sz val="11"/>
        <color theme="1"/>
        <rFont val="Calibri"/>
        <family val="2"/>
        <scheme val="minor"/>
      </rPr>
      <t>: "Y1 = (26,180 * 10 * 12 * 0.75 * 0.25 / 1,000) + (26,180 * 10 * 12 * 0.75 * 0.40 / 1,000) = $589 + $943 = $1,532"</t>
    </r>
  </si>
  <si>
    <r>
      <t>Y2</t>
    </r>
    <r>
      <rPr>
        <sz val="11"/>
        <color theme="1"/>
        <rFont val="Calibri"/>
        <family val="2"/>
        <scheme val="minor"/>
      </rPr>
      <t>: "Y2 = (54,562 * 10 * 12 * 0.75 * 0.25 / 1,000) + (54,562 * 10 * 12 * 0.75 * 0.40 / 1,000) = $1,228 + $1,964 = $3,192"</t>
    </r>
  </si>
  <si>
    <r>
      <t>Y3</t>
    </r>
    <r>
      <rPr>
        <sz val="11"/>
        <color theme="1"/>
        <rFont val="Calibri"/>
        <family val="2"/>
        <scheme val="minor"/>
      </rPr>
      <t>: "Y3 = (141,307 * 10 * 12 * 0.75 * 0.25 / 1,000) + (141,307 * 10 * 12 * 0.75 * 0.40 / 1,000) = $3,179 + $5,087 = $8,266"</t>
    </r>
  </si>
  <si>
    <r>
      <t>Y4</t>
    </r>
    <r>
      <rPr>
        <sz val="11"/>
        <color theme="1"/>
        <rFont val="Calibri"/>
        <family val="2"/>
        <scheme val="minor"/>
      </rPr>
      <t>: "Y4 = (235,867 * 10 * 12 * 0.75 * 0.25 / 1,000) + (235,867 * 10 * 12 * 0.75 * 0.40 / 1,000) = $5,307 + $8,491 = $13,798"</t>
    </r>
  </si>
  <si>
    <r>
      <t>Y5</t>
    </r>
    <r>
      <rPr>
        <sz val="11"/>
        <color theme="1"/>
        <rFont val="Calibri"/>
        <family val="2"/>
        <scheme val="minor"/>
      </rPr>
      <t>: "Y5 = (519,211 * 10 * 12 * 0.75 * 0.25 / 1,000) + (519,211 * 10 * 12 * 0.75 * 0.40 / 1,000) = $11,682 + $18,692 = $30,374"</t>
    </r>
  </si>
  <si>
    <r>
      <t>Y6</t>
    </r>
    <r>
      <rPr>
        <sz val="11"/>
        <color theme="1"/>
        <rFont val="Calibri"/>
        <family val="2"/>
        <scheme val="minor"/>
      </rPr>
      <t>: "Y6 = (840,968 * 10 * 12 * 0.75 * 0.25 / 1,000) + (840,968 * 10 * 12 * 0.75 * 0.40 / 1,000) = $18,922 + $30,275 = $49,197"</t>
    </r>
  </si>
  <si>
    <r>
      <t>Y7</t>
    </r>
    <r>
      <rPr>
        <sz val="11"/>
        <color theme="1"/>
        <rFont val="Calibri"/>
        <family val="2"/>
        <scheme val="minor"/>
      </rPr>
      <t>: "Y7 = (1,070,750 * 10 * 12 * 0.75 * 0.25 / 1,000) + (1,070,750 * 10 * 12 * 0.75 * 0.40 / 1,000) = $24,092 + $38,547 = $62,639"</t>
    </r>
  </si>
  <si>
    <r>
      <t>Y8</t>
    </r>
    <r>
      <rPr>
        <sz val="11"/>
        <color theme="1"/>
        <rFont val="Calibri"/>
        <family val="2"/>
        <scheme val="minor"/>
      </rPr>
      <t>: "Y8 = (1,338,707 * 10 * 12 * 0.75 * 0.25 / 1,000) + (1,338,707 * 10 * 12 * 0.75 * 0.40 / 1,000) = $30,121 + $48,194 = $78,315"</t>
    </r>
  </si>
  <si>
    <r>
      <t>Y9</t>
    </r>
    <r>
      <rPr>
        <sz val="11"/>
        <color theme="1"/>
        <rFont val="Calibri"/>
        <family val="2"/>
        <scheme val="minor"/>
      </rPr>
      <t>: "Y9 = (4,019,566 * 10 * 12 * 0.75 * 0.25 / 1,000) + (4,019,566 * 10 * 12 * 0.75 * 0.40 / 1,000) = $90,440 + $144,704 = $235,144"</t>
    </r>
  </si>
  <si>
    <r>
      <t>Y10</t>
    </r>
    <r>
      <rPr>
        <sz val="11"/>
        <color theme="1"/>
        <rFont val="Calibri"/>
        <family val="2"/>
        <scheme val="minor"/>
      </rPr>
      <t>: "Y10 = (8,399,053 * 10 * 12 * 0.75 * 0.25 / 1,000) + (8,399,053 * 10 * 12 * 0.75 * 0.40 / 1,000) = $188,979 + $302,366 = $491,345"</t>
    </r>
  </si>
  <si>
    <t>19. Algolia</t>
  </si>
  <si>
    <t>S_r = 70 (search requests/user/month)</t>
  </si>
  <si>
    <t>R_u = 10 (records/user)</t>
  </si>
  <si>
    <t>Search Requests: $0.80/10k requests (Grow plan).</t>
  </si>
  <si>
    <t>Records: $0.40/10k records (Grow plan).</t>
  </si>
  <si>
    <r>
      <t>Source</t>
    </r>
    <r>
      <rPr>
        <sz val="11"/>
        <color theme="1"/>
        <rFont val="Calibri"/>
        <family val="2"/>
        <scheme val="minor"/>
      </rPr>
      <t>: Sourced from Algolia’s 2023 pricing model via revpilots.com, which cites algolia.com.</t>
    </r>
  </si>
  <si>
    <t>S_r = Search requests/user/month (70)</t>
  </si>
  <si>
    <t>S_c = Search cost/10k ($0.80)</t>
  </si>
  <si>
    <t>R_u = Records/user (10)</t>
  </si>
  <si>
    <t>R_c = Record cost/10k ($0.40)</t>
  </si>
  <si>
    <t>(U * S_r * M * S_c / 10,000) + (U * R_u * R_c / 10,000)</t>
  </si>
  <si>
    <r>
      <t>Y1</t>
    </r>
    <r>
      <rPr>
        <sz val="11"/>
        <color theme="1"/>
        <rFont val="Calibri"/>
        <family val="2"/>
        <scheme val="minor"/>
      </rPr>
      <t>: "Y1 = (26,180 * 70 * 12 * 0.80 / 10,000) + (26,180 * 10 * 0.40 / 10,000) = $1,759 + $10 = $1,769"</t>
    </r>
  </si>
  <si>
    <r>
      <t>Y2</t>
    </r>
    <r>
      <rPr>
        <sz val="11"/>
        <color theme="1"/>
        <rFont val="Calibri"/>
        <family val="2"/>
        <scheme val="minor"/>
      </rPr>
      <t>: "Y2 = (54,562 * 70 * 12 * 0.80 / 10,000) + (54,562 * 10 * 0.40 / 10,000) = $3,667 + $22 = $3,689"</t>
    </r>
  </si>
  <si>
    <r>
      <t>Y3</t>
    </r>
    <r>
      <rPr>
        <sz val="11"/>
        <color theme="1"/>
        <rFont val="Calibri"/>
        <family val="2"/>
        <scheme val="minor"/>
      </rPr>
      <t>: "Y3 = (141,307 * 70 * 12 * 0.80 / 10,000) + (141,307 * 10 * 0.40 / 10,000) = $9,496 + $57 = $9,553"</t>
    </r>
  </si>
  <si>
    <r>
      <t>Y4</t>
    </r>
    <r>
      <rPr>
        <sz val="11"/>
        <color theme="1"/>
        <rFont val="Calibri"/>
        <family val="2"/>
        <scheme val="minor"/>
      </rPr>
      <t>: "Y4 = (235,867 * 70 * 12 * 0.80 / 10,000) + (235,867 * 10 * 0.40 / 10,000) = $15,850 + $94 = $15,944"</t>
    </r>
  </si>
  <si>
    <r>
      <t>Y5</t>
    </r>
    <r>
      <rPr>
        <sz val="11"/>
        <color theme="1"/>
        <rFont val="Calibri"/>
        <family val="2"/>
        <scheme val="minor"/>
      </rPr>
      <t>: "Y5 = (519,211 * 70 * 12 * 0.80 / 10,000) + (519,211 * 10 * 0.40 / 10,000) = $34,891 + $208 = $35,099"</t>
    </r>
  </si>
  <si>
    <r>
      <t>Y6</t>
    </r>
    <r>
      <rPr>
        <sz val="11"/>
        <color theme="1"/>
        <rFont val="Calibri"/>
        <family val="2"/>
        <scheme val="minor"/>
      </rPr>
      <t>: "Y6 = (840,968 * 70 * 12 * 0.80 / 10,000) + (840,968 * 10 * 0.40 / 10,000) = $56,513 + $336 = $56,849"</t>
    </r>
  </si>
  <si>
    <r>
      <t>Y7</t>
    </r>
    <r>
      <rPr>
        <sz val="11"/>
        <color theme="1"/>
        <rFont val="Calibri"/>
        <family val="2"/>
        <scheme val="minor"/>
      </rPr>
      <t>: "Y7 = (1,070,750 * 70 * 12 * 0.80 / 10,000) + (1,070,750 * 10 * 0.40 / 10,000) = $71,954 + $428 = $72,382"</t>
    </r>
  </si>
  <si>
    <r>
      <t>Y8</t>
    </r>
    <r>
      <rPr>
        <sz val="11"/>
        <color theme="1"/>
        <rFont val="Calibri"/>
        <family val="2"/>
        <scheme val="minor"/>
      </rPr>
      <t>: "Y8 = (1,338,707 * 70 * 12 * 0.80 / 10,000) + (1,338,707 * 10 * 0.40 / 10,000) = $89,961 + $535 = $90,496"</t>
    </r>
  </si>
  <si>
    <r>
      <t>Y9</t>
    </r>
    <r>
      <rPr>
        <sz val="11"/>
        <color theme="1"/>
        <rFont val="Calibri"/>
        <family val="2"/>
        <scheme val="minor"/>
      </rPr>
      <t>: "Y9 = (4,019,566 * 70 * 12 * 0.80 / 10,000) + (4,019,566 * 10 * 0.40 / 10,000) = $270,115 + $1,608 = $271,723"</t>
    </r>
  </si>
  <si>
    <r>
      <t>Y10</t>
    </r>
    <r>
      <rPr>
        <sz val="11"/>
        <color theme="1"/>
        <rFont val="Calibri"/>
        <family val="2"/>
        <scheme val="minor"/>
      </rPr>
      <t>: "Y10 = (8,399,053 * 70 * 12 * 0.80 / 10,000) + (8,399,053 * 10 * 0.40 / 10,000) = $564,416 + $3,360 = $567,776"</t>
    </r>
  </si>
  <si>
    <t>20. Translation API</t>
  </si>
  <si>
    <t>P_tr = 2% (0.02, % of users needing translation)</t>
  </si>
  <si>
    <t>T_r = 10 (translation requests/user/month)</t>
  </si>
  <si>
    <t>C_tr = 250 (characters/translation)</t>
  </si>
  <si>
    <r>
      <t>Pricing</t>
    </r>
    <r>
      <rPr>
        <sz val="11"/>
        <color theme="1"/>
        <rFont val="Calibri"/>
        <family val="2"/>
        <scheme val="minor"/>
      </rPr>
      <t>: $10/1M characters (Microsoft Azure Translator).</t>
    </r>
  </si>
  <si>
    <t>Translation API is required starting in Y5.</t>
  </si>
  <si>
    <t>P_tr = % of users needing translation (0.02)</t>
  </si>
  <si>
    <t>T_r = Translation requests/user/month (10)</t>
  </si>
  <si>
    <t>C_tr = Characters/translation (250)</t>
  </si>
  <si>
    <t>T_c = Translation cost/1M ($10)</t>
  </si>
  <si>
    <t>(U * P_tr * T_r * M * C_tr * T_c) / 1,000,000</t>
  </si>
  <si>
    <r>
      <t>Y1–Y4</t>
    </r>
    <r>
      <rPr>
        <sz val="11"/>
        <color theme="1"/>
        <rFont val="Calibri"/>
        <family val="2"/>
        <scheme val="minor"/>
      </rPr>
      <t>: "Y1 = 0 (not required)", "Y2 = 0 (not required)", "Y3 = 0 (not required)", "Y4 = 0 (not required)"</t>
    </r>
  </si>
  <si>
    <r>
      <t>Y5</t>
    </r>
    <r>
      <rPr>
        <sz val="11"/>
        <color theme="1"/>
        <rFont val="Calibri"/>
        <family val="2"/>
        <scheme val="minor"/>
      </rPr>
      <t>: "Y5 = (519,211 * 0.02 * 10 * 12 * 250 * 10) / 1,000,000 = $311"</t>
    </r>
  </si>
  <si>
    <r>
      <t>Y6</t>
    </r>
    <r>
      <rPr>
        <sz val="11"/>
        <color theme="1"/>
        <rFont val="Calibri"/>
        <family val="2"/>
        <scheme val="minor"/>
      </rPr>
      <t>: "Y6 = (840,968 * 0.02 * 10 * 12 * 250 * 10) / 1,000,000 = $505"</t>
    </r>
  </si>
  <si>
    <r>
      <t>Y7</t>
    </r>
    <r>
      <rPr>
        <sz val="11"/>
        <color theme="1"/>
        <rFont val="Calibri"/>
        <family val="2"/>
        <scheme val="minor"/>
      </rPr>
      <t>: "Y7 = (1,070,750 * 0.02 * 10 * 12 * 250 * 10) / 1,000,000 = $643"</t>
    </r>
  </si>
  <si>
    <r>
      <t>Y8</t>
    </r>
    <r>
      <rPr>
        <sz val="11"/>
        <color theme="1"/>
        <rFont val="Calibri"/>
        <family val="2"/>
        <scheme val="minor"/>
      </rPr>
      <t>: "Y8 = (1,338,707 * 0.02 * 10 * 12 * 250 * 10) / 1,000,000 = $803"</t>
    </r>
  </si>
  <si>
    <r>
      <t>Y9</t>
    </r>
    <r>
      <rPr>
        <sz val="11"/>
        <color theme="1"/>
        <rFont val="Calibri"/>
        <family val="2"/>
        <scheme val="minor"/>
      </rPr>
      <t>: "Y9 = (4,019,566 * 0.02 * 10 * 12 * 250 * 10) / 1,000,000 = $2,412"</t>
    </r>
  </si>
  <si>
    <r>
      <t>Y10</t>
    </r>
    <r>
      <rPr>
        <sz val="11"/>
        <color theme="1"/>
        <rFont val="Calibri"/>
        <family val="2"/>
        <scheme val="minor"/>
      </rPr>
      <t>: "Y10 = (8,399,053 * 0.02 * 10 * 12 * 250 * 10) / 1,000,000 = $5,039"</t>
    </r>
  </si>
  <si>
    <t>Yr2 is spent stabilizing Copelod after Yr1, gaining staff, and preparing for UK launch in Yr3</t>
  </si>
  <si>
    <t>UK launch in Yr3, see TAM/Penetration calculation below. Additional users are added to Total Users.</t>
  </si>
  <si>
    <t>Australia launch in Yr4, TAM/Penetration calculation below. Additional users from are added to Total Users.</t>
  </si>
  <si>
    <t>Canada launch in Yr5, TAM/Penetration calculation below. Additional users from are added to Total Users.</t>
  </si>
  <si>
    <t>EU launch in Yr6, TAM/Penetration calculation below. Additional users from are added to Total Users.</t>
  </si>
  <si>
    <t>New Zealand launch in Yr7, TAM/Penetration calculation below. Additional users from are added to Total Users.</t>
  </si>
  <si>
    <t>India launch in Yr9, TAM/Penetration calculation below. Additional users from are added to Total Users.</t>
  </si>
  <si>
    <t>Global launch in Yr10, TAM/Penetration calculation below. Additional users from are added to Total Users.</t>
  </si>
  <si>
    <t xml:space="preserve">Total users include users from marketing, net organic growth, and gains from launches in new markets. </t>
  </si>
  <si>
    <t>Revenue conservatively assumes most paying users will opt for the fair-and-balanced monthly tier. Revenue from search credit are not included due to unknown variability. Search limit and credits act primarily as cost protection, not a revenue stream. Weekly estimated as low due to low commitment at that tier.</t>
  </si>
  <si>
    <t xml:space="preserve">The impact of marketing may be understated since a core function of Copelod is to facilitate activism through public events. Such events serve as free marketing for Copelod. Influencers are 50% of the marketing effort for greater market penetration. X ads target users who prefer privacy and activism. Content marketing produces in-house media aimed at building a trusting relationship with users while highlighting positive outcomes gained through Copelod's use. </t>
  </si>
  <si>
    <t xml:space="preserve">Cost Per Install calculations are based on industry standards. </t>
  </si>
  <si>
    <t>Offshore customer service agents are costed at $20,000/yr/ea. Yr1 support will be supported by founding members of Copelod.</t>
  </si>
  <si>
    <t>Offshore developers are costed at $30,000/yr/ea.</t>
  </si>
  <si>
    <t xml:space="preserve">To prevent costs, Stripe will be replaced at month 16 by a web based payment system at Copelod.app. </t>
  </si>
  <si>
    <t>Yr2's net income drops due to efforts focusing on stabilization from Yr1, staffing increase, and preparation for a Yr3 launch in the UK.</t>
  </si>
  <si>
    <t>Footnotes</t>
  </si>
  <si>
    <t>TAM Estimates</t>
  </si>
  <si>
    <t>Definitions and use case examples of each backend service can be found as a downloadable PDF at Copelod.app/Invest. View below section: "Cost Estimates" for formulas and examples of annual cost calculations.</t>
  </si>
  <si>
    <t>Launch Gain</t>
  </si>
  <si>
    <t>Proforma Income Statement (Yr1-10) Copelod.app</t>
  </si>
  <si>
    <t>% of Paid Users</t>
  </si>
  <si>
    <t>Owner's Salary (Living Expense Yr1&amp;2)</t>
  </si>
  <si>
    <t>Cost Estimate Formulas &amp; Examples</t>
  </si>
  <si>
    <t>Operations</t>
  </si>
  <si>
    <t>$135.96/year</t>
  </si>
  <si>
    <t>Scenario: Beginning balance is $100k provided by an angel investor as operating capital.</t>
  </si>
  <si>
    <t>Detailed Cash Flow (Monthly Yr1) Copelod.app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</si>
  <si>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</si>
  <si>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</si>
  <si>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</si>
  <si>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</si>
  <si>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</si>
  <si>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</si>
  <si>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</si>
  <si>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</si>
  <si>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</si>
  <si>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</si>
  <si>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</si>
  <si>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</si>
  <si>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r>
      <t>Total Users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</si>
  <si>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Beginning Cash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</si>
  <si>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Monthly Distribution</t>
    </r>
    <r>
      <rPr>
        <vertAlign val="superscript"/>
        <sz val="11"/>
        <color theme="1"/>
        <rFont val="Calibri"/>
        <family val="2"/>
        <scheme val="minor"/>
      </rPr>
      <t>3</t>
    </r>
  </si>
  <si>
    <t>Post Distribution</t>
  </si>
  <si>
    <t>Monthly Distribution</t>
  </si>
  <si>
    <t>$135.96.99/year</t>
  </si>
  <si>
    <t>Subscription Revenue</t>
  </si>
  <si>
    <t>% of Paying Users by Tier</t>
  </si>
  <si>
    <t>$5.99/month</t>
  </si>
  <si>
    <t>$11.99/month</t>
  </si>
  <si>
    <t>$99.99/year</t>
  </si>
  <si>
    <t>Total Inflow</t>
  </si>
  <si>
    <t>Marketing (Input Total)</t>
  </si>
  <si>
    <t>CPI</t>
  </si>
  <si>
    <t># of Agents</t>
  </si>
  <si>
    <t># of Devs</t>
  </si>
  <si>
    <t>Opeartions</t>
  </si>
  <si>
    <t>Services</t>
  </si>
  <si>
    <t>Stripe</t>
  </si>
  <si>
    <t>Total Outflows</t>
  </si>
  <si>
    <t>Net Cash Flow</t>
  </si>
  <si>
    <t>Ending cash</t>
  </si>
  <si>
    <t>Total users slightly differ from annualized proforma due to net organic growth percentage compounding. Adjustments have been made to growth and churn rates to more accurately reflect the annualized proforma.</t>
  </si>
  <si>
    <t xml:space="preserve">Beginning cash on-hand assumes all crowdfunding costs are consumed in development and only $100k is raised from an angel investor. Most likely, ~$30k will remain from crowdfunding after development.  </t>
  </si>
  <si>
    <t>Monthly distributions are added to subscription revenue values to more accurately reflect a realistic conservative growth trend immediately after launch.</t>
  </si>
  <si>
    <t>Simplified Cash Flow (Monthly Yr1) Copelod.app</t>
  </si>
  <si>
    <t>Beginning Cash</t>
  </si>
  <si>
    <t>Scenario: Beginning balance is $30k provided by crowdfunding contributors. $30k is the estimated unused funds assigned to development.</t>
  </si>
  <si>
    <t xml:space="preserve">Beginning cash on-hand assumes all crowdfunding costs are consumed in development and only $100k is raised from an angel investor as operating capital. Most likely, ~$30k will remain from crowdfunding after development.  </t>
  </si>
  <si>
    <t>Scenario: Beginning balance is $0. Estimates do not support a beginning balance of $0. This scenario serves to illustrate a "worst case" scenario.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</si>
</sst>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000_);_(&quot;$&quot;* \(#,##0.00000000\);_(&quot;$&quot;* &quot;-&quot;??_);_(@_)"/>
    <numFmt numFmtId="167" formatCode="_(&quot;$&quot;* #,##0.0000_);_(&quot;$&quot;* \(#,##0.0000\);_(&quot;$&quot;* &quot;-&quot;??_);_(@_)"/>
    <numFmt numFmtId="168" formatCode="_(&quot;$&quot;* #,##0.000_);_(&quot;$&quot;* \(#,##0.0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9" fontId="0" fillId="0" borderId="0" xfId="0" applyNumberFormat="1"/>
    <xf numFmtId="44" fontId="0" fillId="0" borderId="0" xfId="2" applyFont="1" applyFill="1" applyAlignment="1">
      <alignment vertical="center" wrapText="1"/>
    </xf>
    <xf numFmtId="44" fontId="0" fillId="0" borderId="0" xfId="2" applyFont="1" applyFill="1"/>
    <xf numFmtId="44" fontId="0" fillId="0" borderId="0" xfId="2" applyFont="1"/>
    <xf numFmtId="4" fontId="0" fillId="0" borderId="0" xfId="0" applyNumberFormat="1" applyAlignment="1">
      <alignment vertical="center" wrapText="1"/>
    </xf>
    <xf numFmtId="8" fontId="0" fillId="0" borderId="0" xfId="0" applyNumberFormat="1"/>
    <xf numFmtId="165" fontId="0" fillId="0" borderId="0" xfId="1" applyNumberFormat="1" applyFont="1"/>
    <xf numFmtId="43" fontId="0" fillId="0" borderId="0" xfId="0" applyNumberFormat="1"/>
    <xf numFmtId="10" fontId="0" fillId="0" borderId="0" xfId="3" applyNumberFormat="1" applyFont="1"/>
    <xf numFmtId="165" fontId="0" fillId="0" borderId="0" xfId="0" applyNumberFormat="1"/>
    <xf numFmtId="0" fontId="2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2"/>
    </xf>
    <xf numFmtId="166" fontId="1" fillId="0" borderId="0" xfId="2" applyNumberFormat="1" applyFont="1" applyAlignment="1">
      <alignment horizontal="left" vertical="center"/>
    </xf>
    <xf numFmtId="167" fontId="0" fillId="0" borderId="0" xfId="2" applyNumberFormat="1" applyFont="1"/>
    <xf numFmtId="167" fontId="0" fillId="0" borderId="0" xfId="0" applyNumberFormat="1"/>
    <xf numFmtId="168" fontId="0" fillId="0" borderId="0" xfId="2" applyNumberFormat="1" applyFont="1" applyFill="1" applyAlignment="1">
      <alignment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2" fillId="0" borderId="0" xfId="0" applyFont="1" applyAlignment="1">
      <alignment vertical="center" wrapText="1"/>
    </xf>
    <xf numFmtId="164" fontId="0" fillId="0" borderId="0" xfId="2" applyNumberFormat="1" applyFont="1" applyFill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center" vertical="center" wrapText="1"/>
    </xf>
    <xf numFmtId="9" fontId="0" fillId="0" borderId="0" xfId="3" applyFont="1" applyFill="1" applyAlignment="1">
      <alignment vertical="center" wrapText="1"/>
    </xf>
    <xf numFmtId="10" fontId="0" fillId="0" borderId="0" xfId="0" applyNumberFormat="1" applyAlignment="1">
      <alignment vertical="center" wrapText="1"/>
    </xf>
    <xf numFmtId="164" fontId="2" fillId="0" borderId="0" xfId="2" applyNumberFormat="1" applyFont="1" applyFill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9" fontId="0" fillId="0" borderId="0" xfId="3" applyFont="1" applyFill="1" applyAlignment="1">
      <alignment horizontal="left" vertical="center" wrapText="1" inden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10" fontId="0" fillId="0" borderId="0" xfId="3" applyNumberFormat="1" applyFont="1" applyFill="1"/>
    <xf numFmtId="10" fontId="0" fillId="0" borderId="0" xfId="0" applyNumberFormat="1"/>
    <xf numFmtId="0" fontId="0" fillId="0" borderId="0" xfId="0" applyAlignment="1">
      <alignment vertical="top" wrapText="1"/>
    </xf>
    <xf numFmtId="0" fontId="7" fillId="4" borderId="0" xfId="0" applyFont="1" applyFill="1" applyAlignment="1">
      <alignment horizontal="left" vertical="center" wrapText="1"/>
    </xf>
    <xf numFmtId="165" fontId="0" fillId="0" borderId="0" xfId="1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0" borderId="0" xfId="1" applyNumberFormat="1" applyFont="1"/>
    <xf numFmtId="164" fontId="2" fillId="0" borderId="1" xfId="2" applyNumberFormat="1" applyFont="1" applyFill="1" applyBorder="1" applyAlignment="1">
      <alignment vertical="center" wrapText="1"/>
    </xf>
    <xf numFmtId="3" fontId="0" fillId="0" borderId="0" xfId="0" applyNumberFormat="1" applyAlignment="1">
      <alignment horizontal="right" vertical="center" wrapText="1"/>
    </xf>
    <xf numFmtId="9" fontId="0" fillId="0" borderId="0" xfId="3" applyFont="1" applyFill="1" applyAlignment="1">
      <alignment horizontal="right" vertical="center" wrapText="1"/>
    </xf>
    <xf numFmtId="164" fontId="2" fillId="0" borderId="2" xfId="2" applyNumberFormat="1" applyFont="1" applyFill="1" applyBorder="1" applyAlignment="1">
      <alignment vertical="center" wrapText="1"/>
    </xf>
    <xf numFmtId="0" fontId="2" fillId="0" borderId="0" xfId="0" applyFont="1" applyAlignment="1">
      <alignment vertical="top"/>
    </xf>
    <xf numFmtId="9" fontId="0" fillId="0" borderId="0" xfId="3" applyFont="1"/>
    <xf numFmtId="164" fontId="2" fillId="0" borderId="1" xfId="2" applyNumberFormat="1" applyFont="1" applyBorder="1" applyAlignment="1">
      <alignment vertical="center" wrapText="1"/>
    </xf>
    <xf numFmtId="164" fontId="0" fillId="0" borderId="1" xfId="2" applyNumberFormat="1" applyFont="1" applyBorder="1" applyAlignment="1">
      <alignment vertical="center" wrapText="1"/>
    </xf>
    <xf numFmtId="164" fontId="0" fillId="0" borderId="0" xfId="2" applyNumberFormat="1" applyFont="1" applyAlignment="1">
      <alignment vertical="center" wrapText="1"/>
    </xf>
    <xf numFmtId="0" fontId="8" fillId="5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7" fillId="2" borderId="0" xfId="0" applyFont="1" applyFill="1" applyAlignment="1">
      <alignment horizontal="center"/>
    </xf>
    <xf numFmtId="0" fontId="2" fillId="6" borderId="0" xfId="0" applyFont="1" applyFill="1" applyAlignment="1">
      <alignment horizontal="left"/>
    </xf>
    <xf numFmtId="10" fontId="0" fillId="0" borderId="0" xfId="3" applyNumberFormat="1" applyFont="1" applyFill="1" applyAlignment="1">
      <alignment horizontal="right" vertical="center" wrapText="1"/>
    </xf>
    <xf numFmtId="164" fontId="0" fillId="0" borderId="0" xfId="2" applyNumberFormat="1" applyFont="1"/>
    <xf numFmtId="2" fontId="0" fillId="0" borderId="0" xfId="0" applyNumberFormat="1"/>
    <xf numFmtId="0" fontId="2" fillId="7" borderId="0" xfId="0" applyFont="1" applyFill="1" applyAlignment="1">
      <alignment vertical="center" wrapText="1"/>
    </xf>
    <xf numFmtId="164" fontId="0" fillId="7" borderId="0" xfId="2" applyNumberFormat="1" applyFont="1" applyFill="1" applyAlignment="1">
      <alignment vertical="center" wrapText="1"/>
    </xf>
    <xf numFmtId="0" fontId="0" fillId="3" borderId="0" xfId="0" applyFill="1"/>
    <xf numFmtId="44" fontId="0" fillId="0" borderId="0" xfId="2" applyFont="1" applyAlignment="1">
      <alignment vertical="center" wrapText="1"/>
    </xf>
    <xf numFmtId="0" fontId="0" fillId="7" borderId="0" xfId="0" applyFill="1" applyAlignment="1">
      <alignment horizontal="left" vertical="center" wrapText="1" indent="1"/>
    </xf>
    <xf numFmtId="10" fontId="0" fillId="7" borderId="0" xfId="0" applyNumberFormat="1" applyFill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64" fontId="2" fillId="7" borderId="1" xfId="2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164" fontId="2" fillId="7" borderId="2" xfId="2" applyNumberFormat="1" applyFont="1" applyFill="1" applyBorder="1" applyAlignment="1">
      <alignment vertical="center" wrapText="1"/>
    </xf>
    <xf numFmtId="164" fontId="2" fillId="7" borderId="0" xfId="3" applyNumberFormat="1" applyFont="1" applyFill="1"/>
    <xf numFmtId="164" fontId="0" fillId="0" borderId="0" xfId="2" applyNumberFormat="1" applyFont="1" applyAlignment="1"/>
    <xf numFmtId="164" fontId="0" fillId="0" borderId="1" xfId="2" applyNumberFormat="1" applyFont="1" applyBorder="1"/>
    <xf numFmtId="164" fontId="2" fillId="0" borderId="2" xfId="2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63216-A0E3-46A5-A0B8-FEF48F8E3269}">
  <dimension ref="A1:AH640"/>
  <sheetViews>
    <sheetView zoomScaleNormal="100" workbookViewId="0">
      <selection activeCell="A11" sqref="A11"/>
    </sheetView>
  </sheetViews>
  <sheetFormatPr defaultRowHeight="15" x14ac:dyDescent="0.25"/>
  <cols>
    <col min="1" max="1" width="35.28515625" customWidth="1"/>
    <col min="2" max="3" width="12" customWidth="1"/>
    <col min="4" max="4" width="14.7109375" customWidth="1"/>
    <col min="5" max="9" width="12" customWidth="1"/>
    <col min="10" max="11" width="13.42578125" customWidth="1"/>
    <col min="12" max="12" width="9.140625" hidden="1" customWidth="1"/>
    <col min="21" max="21" width="14" customWidth="1"/>
    <col min="22" max="22" width="42.5703125" customWidth="1"/>
    <col min="23" max="29" width="10.5703125" customWidth="1"/>
    <col min="30" max="30" width="12" customWidth="1"/>
    <col min="31" max="31" width="12.42578125" customWidth="1"/>
    <col min="34" max="34" width="13.140625" bestFit="1" customWidth="1"/>
  </cols>
  <sheetData>
    <row r="1" spans="1:23" ht="18.75" x14ac:dyDescent="0.3">
      <c r="A1" s="59" t="s">
        <v>357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23" x14ac:dyDescent="0.25">
      <c r="A2" s="1" t="s">
        <v>0</v>
      </c>
      <c r="B2" s="2" t="s">
        <v>1</v>
      </c>
      <c r="C2" s="2"/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/>
      <c r="J2" s="2" t="s">
        <v>7</v>
      </c>
      <c r="K2" s="2" t="s">
        <v>8</v>
      </c>
    </row>
    <row r="3" spans="1:23" ht="17.25" x14ac:dyDescent="0.25">
      <c r="A3" s="32" t="s">
        <v>77</v>
      </c>
      <c r="B3" s="32" t="s">
        <v>9</v>
      </c>
      <c r="C3" s="32" t="s">
        <v>79</v>
      </c>
      <c r="D3" s="32" t="s">
        <v>80</v>
      </c>
      <c r="E3" s="32" t="s">
        <v>81</v>
      </c>
      <c r="F3" s="32" t="s">
        <v>82</v>
      </c>
      <c r="G3" s="32" t="s">
        <v>83</v>
      </c>
      <c r="H3" s="32" t="s">
        <v>84</v>
      </c>
      <c r="I3" s="32" t="s">
        <v>10</v>
      </c>
      <c r="J3" s="32" t="s">
        <v>85</v>
      </c>
      <c r="K3" s="32" t="s">
        <v>86</v>
      </c>
      <c r="O3" s="32"/>
    </row>
    <row r="4" spans="1:23" x14ac:dyDescent="0.25">
      <c r="A4" s="33" t="s">
        <v>11</v>
      </c>
      <c r="B4" s="51">
        <f>5000+SUM(B41:B43)</f>
        <v>25666.666666666668</v>
      </c>
      <c r="C4" s="51">
        <f>SUM(C41:C43)</f>
        <v>28933.333333333336</v>
      </c>
      <c r="D4" s="51">
        <f>SUM(D41:D43)</f>
        <v>49083.333333333336</v>
      </c>
      <c r="E4" s="51">
        <f t="shared" ref="E4:K4" si="0">SUM(E41:E43)</f>
        <v>76700.07843137256</v>
      </c>
      <c r="F4" s="51">
        <f t="shared" si="0"/>
        <v>163153</v>
      </c>
      <c r="G4" s="51">
        <f t="shared" si="0"/>
        <v>192567.74509803922</v>
      </c>
      <c r="H4" s="51">
        <f t="shared" si="0"/>
        <v>227082.29411764708</v>
      </c>
      <c r="I4" s="51">
        <f t="shared" si="0"/>
        <v>267956.70588235295</v>
      </c>
      <c r="J4" s="51">
        <f t="shared" si="0"/>
        <v>2135280</v>
      </c>
      <c r="K4" s="51">
        <f t="shared" si="0"/>
        <v>3539487</v>
      </c>
      <c r="O4" s="32"/>
    </row>
    <row r="5" spans="1:23" x14ac:dyDescent="0.25">
      <c r="A5" s="33" t="s">
        <v>12</v>
      </c>
      <c r="B5" s="52">
        <v>0.25</v>
      </c>
      <c r="C5" s="52">
        <v>0.2</v>
      </c>
      <c r="D5" s="52">
        <v>0.2</v>
      </c>
      <c r="E5" s="52">
        <v>0.18</v>
      </c>
      <c r="F5" s="52">
        <v>0.17</v>
      </c>
      <c r="G5" s="52">
        <v>0.2</v>
      </c>
      <c r="H5" s="52">
        <v>0.15</v>
      </c>
      <c r="I5" s="52">
        <v>0.1</v>
      </c>
      <c r="J5" s="52">
        <v>0.2</v>
      </c>
      <c r="K5" s="52">
        <v>0.1</v>
      </c>
      <c r="O5" s="32"/>
    </row>
    <row r="6" spans="1:23" x14ac:dyDescent="0.25">
      <c r="A6" s="33" t="s">
        <v>13</v>
      </c>
      <c r="B6" s="52">
        <v>0.18</v>
      </c>
      <c r="C6" s="52">
        <v>0.16</v>
      </c>
      <c r="D6" s="52">
        <v>0.18</v>
      </c>
      <c r="E6" s="52">
        <v>0.16</v>
      </c>
      <c r="F6" s="52">
        <v>0.15</v>
      </c>
      <c r="G6" s="52">
        <v>0.15</v>
      </c>
      <c r="H6" s="52">
        <v>0.15</v>
      </c>
      <c r="I6" s="52">
        <v>0.1</v>
      </c>
      <c r="J6" s="52">
        <v>0.13</v>
      </c>
      <c r="K6" s="52">
        <v>0.1</v>
      </c>
      <c r="O6" s="32"/>
    </row>
    <row r="7" spans="1:23" x14ac:dyDescent="0.25">
      <c r="A7" s="31" t="s">
        <v>14</v>
      </c>
      <c r="B7" s="52">
        <f>B5-B6</f>
        <v>7.0000000000000007E-2</v>
      </c>
      <c r="C7" s="52">
        <f t="shared" ref="C7:K7" si="1">C5-C6</f>
        <v>4.0000000000000008E-2</v>
      </c>
      <c r="D7" s="52">
        <f t="shared" si="1"/>
        <v>2.0000000000000018E-2</v>
      </c>
      <c r="E7" s="52">
        <f t="shared" si="1"/>
        <v>1.999999999999999E-2</v>
      </c>
      <c r="F7" s="52">
        <f t="shared" si="1"/>
        <v>2.0000000000000018E-2</v>
      </c>
      <c r="G7" s="52">
        <f t="shared" si="1"/>
        <v>5.0000000000000017E-2</v>
      </c>
      <c r="H7" s="52">
        <f t="shared" si="1"/>
        <v>0</v>
      </c>
      <c r="I7" s="52">
        <f t="shared" si="1"/>
        <v>0</v>
      </c>
      <c r="J7" s="52">
        <f t="shared" si="1"/>
        <v>7.0000000000000007E-2</v>
      </c>
      <c r="K7" s="52">
        <f t="shared" si="1"/>
        <v>0</v>
      </c>
      <c r="O7" s="32"/>
    </row>
    <row r="8" spans="1:23" x14ac:dyDescent="0.25">
      <c r="A8" s="32"/>
      <c r="B8" s="34"/>
      <c r="C8" s="34"/>
      <c r="D8" s="34"/>
      <c r="E8" s="34"/>
      <c r="F8" s="34"/>
      <c r="G8" s="34"/>
      <c r="H8" s="34"/>
      <c r="I8" s="34"/>
      <c r="J8" s="34"/>
      <c r="K8" s="34"/>
      <c r="O8" s="32"/>
    </row>
    <row r="9" spans="1:23" ht="17.25" x14ac:dyDescent="0.25">
      <c r="A9" s="29" t="s">
        <v>87</v>
      </c>
      <c r="B9" s="38">
        <f>B4*(1+B7)</f>
        <v>27463.333333333336</v>
      </c>
      <c r="C9" s="38">
        <f>(C4+B9)*(1+C7)</f>
        <v>58652.53333333334</v>
      </c>
      <c r="D9" s="38">
        <f>(D4+C9)*(1+D7)+D113</f>
        <v>150390.584</v>
      </c>
      <c r="E9" s="38">
        <f>(E4+D9)*(1+E7)+D123</f>
        <v>245132.47568</v>
      </c>
      <c r="F9" s="38">
        <f>(F4+E9)*(1+F7)+D118+B159</f>
        <v>437451.18519360002</v>
      </c>
      <c r="G9" s="38">
        <f>(G4+F9)*(1+G7)+D128</f>
        <v>755119.8768062212</v>
      </c>
      <c r="H9" s="38">
        <f>(H4+G9)*(1+H7)+D133</f>
        <v>984902.17092386831</v>
      </c>
      <c r="I9" s="38">
        <f t="shared" ref="I9" si="2">(I4+H9)*(1+I7)</f>
        <v>1252858.8768062212</v>
      </c>
      <c r="J9" s="38">
        <f>(J4+I9)*(1+J7)+D138</f>
        <v>3927708.5981826568</v>
      </c>
      <c r="K9" s="38">
        <f>(K4+J9)*(1+K7)+D143</f>
        <v>8307195.5981826568</v>
      </c>
      <c r="O9" s="32"/>
    </row>
    <row r="10" spans="1:23" x14ac:dyDescent="0.25">
      <c r="A10" s="29" t="s">
        <v>15</v>
      </c>
      <c r="B10" s="3">
        <f>B9-B12</f>
        <v>24717</v>
      </c>
      <c r="C10" s="3">
        <f t="shared" ref="C10:K10" si="3">C9-C12</f>
        <v>52787.280000000006</v>
      </c>
      <c r="D10" s="3">
        <f t="shared" si="3"/>
        <v>135351.52559999999</v>
      </c>
      <c r="E10" s="3">
        <f t="shared" si="3"/>
        <v>215716.5785984</v>
      </c>
      <c r="F10" s="3">
        <f t="shared" si="3"/>
        <v>384957.042970368</v>
      </c>
      <c r="G10" s="3">
        <f t="shared" si="3"/>
        <v>664505.49158947472</v>
      </c>
      <c r="H10" s="3">
        <f t="shared" si="3"/>
        <v>856864.88870376546</v>
      </c>
      <c r="I10" s="3">
        <f t="shared" si="3"/>
        <v>1077458.6340533502</v>
      </c>
      <c r="J10" s="3">
        <f t="shared" si="3"/>
        <v>3338552.3084552581</v>
      </c>
      <c r="K10" s="3">
        <f t="shared" si="3"/>
        <v>7061116.2584552579</v>
      </c>
      <c r="O10" s="32"/>
    </row>
    <row r="11" spans="1:23" x14ac:dyDescent="0.25">
      <c r="A11" s="33" t="s">
        <v>16</v>
      </c>
      <c r="B11" s="35">
        <v>0.1</v>
      </c>
      <c r="C11" s="35">
        <v>0.1</v>
      </c>
      <c r="D11" s="35">
        <v>0.1</v>
      </c>
      <c r="E11" s="35">
        <v>0.12</v>
      </c>
      <c r="F11" s="35">
        <v>0.12</v>
      </c>
      <c r="G11" s="35">
        <v>0.12</v>
      </c>
      <c r="H11" s="35">
        <v>0.13</v>
      </c>
      <c r="I11" s="35">
        <v>0.14000000000000001</v>
      </c>
      <c r="J11" s="35">
        <v>0.15</v>
      </c>
      <c r="K11" s="35">
        <v>0.15</v>
      </c>
      <c r="O11" s="32"/>
    </row>
    <row r="12" spans="1:23" x14ac:dyDescent="0.25">
      <c r="A12" s="29" t="s">
        <v>17</v>
      </c>
      <c r="B12" s="3">
        <f>B9*B11</f>
        <v>2746.3333333333339</v>
      </c>
      <c r="C12" s="3">
        <f t="shared" ref="C12:K12" si="4">C9*C11</f>
        <v>5865.253333333334</v>
      </c>
      <c r="D12" s="3">
        <f t="shared" si="4"/>
        <v>15039.058400000002</v>
      </c>
      <c r="E12" s="3">
        <f t="shared" si="4"/>
        <v>29415.8970816</v>
      </c>
      <c r="F12" s="3">
        <f t="shared" si="4"/>
        <v>52494.142223231996</v>
      </c>
      <c r="G12" s="3">
        <f t="shared" si="4"/>
        <v>90614.385216746537</v>
      </c>
      <c r="H12" s="3">
        <f t="shared" si="4"/>
        <v>128037.28222010289</v>
      </c>
      <c r="I12" s="3">
        <f t="shared" si="4"/>
        <v>175400.24275287098</v>
      </c>
      <c r="J12" s="3">
        <f t="shared" si="4"/>
        <v>589156.28972739854</v>
      </c>
      <c r="K12" s="3">
        <f t="shared" si="4"/>
        <v>1246079.3397273985</v>
      </c>
      <c r="O12" s="32"/>
      <c r="W12" s="11"/>
    </row>
    <row r="13" spans="1:23" x14ac:dyDescent="0.25">
      <c r="A13" s="26" t="s">
        <v>18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W13" s="11"/>
    </row>
    <row r="14" spans="1:23" x14ac:dyDescent="0.25">
      <c r="A14" s="33" t="s">
        <v>19</v>
      </c>
      <c r="B14" s="58">
        <f>($L$14*(52))*B15*B12</f>
        <v>42771.395333333348</v>
      </c>
      <c r="C14" s="58">
        <f t="shared" ref="C14:K14" si="5">($L$14*(52))*C15*C12</f>
        <v>91345.455413333359</v>
      </c>
      <c r="D14" s="58">
        <f t="shared" si="5"/>
        <v>234218.29552160006</v>
      </c>
      <c r="E14" s="58">
        <f t="shared" si="5"/>
        <v>458123.18114883843</v>
      </c>
      <c r="F14" s="58">
        <f t="shared" si="5"/>
        <v>817543.7709846152</v>
      </c>
      <c r="G14" s="58">
        <f t="shared" si="5"/>
        <v>1411228.4353656108</v>
      </c>
      <c r="H14" s="58">
        <f t="shared" si="5"/>
        <v>1994052.6332958827</v>
      </c>
      <c r="I14" s="58">
        <f t="shared" si="5"/>
        <v>2731683.3806332131</v>
      </c>
      <c r="J14" s="58">
        <f t="shared" si="5"/>
        <v>9175520.0562145058</v>
      </c>
      <c r="K14" s="58">
        <f t="shared" si="5"/>
        <v>19406439.636914507</v>
      </c>
      <c r="L14">
        <v>5.99</v>
      </c>
      <c r="W14" s="11"/>
    </row>
    <row r="15" spans="1:23" x14ac:dyDescent="0.25">
      <c r="A15" s="33" t="s">
        <v>358</v>
      </c>
      <c r="B15" s="36">
        <v>0.05</v>
      </c>
      <c r="C15" s="36">
        <v>0.05</v>
      </c>
      <c r="D15" s="36">
        <v>0.05</v>
      </c>
      <c r="E15" s="36">
        <v>0.05</v>
      </c>
      <c r="F15" s="36">
        <v>0.05</v>
      </c>
      <c r="G15" s="36">
        <v>0.05</v>
      </c>
      <c r="H15" s="36">
        <v>0.05</v>
      </c>
      <c r="I15" s="36">
        <v>0.05</v>
      </c>
      <c r="J15" s="36">
        <v>0.05</v>
      </c>
      <c r="K15" s="36">
        <v>0.05</v>
      </c>
      <c r="W15" s="11"/>
    </row>
    <row r="16" spans="1:23" x14ac:dyDescent="0.25">
      <c r="A16" s="33" t="s">
        <v>20</v>
      </c>
      <c r="B16" s="58">
        <f>$L$16*12*B12*B17</f>
        <v>299685.38600000006</v>
      </c>
      <c r="C16" s="58">
        <f t="shared" ref="C16:K16" si="6">$L$16*12*C12*C17</f>
        <v>640028.17424000008</v>
      </c>
      <c r="D16" s="58">
        <f t="shared" si="6"/>
        <v>1641092.1307248003</v>
      </c>
      <c r="E16" s="58">
        <f t="shared" si="6"/>
        <v>3209921.5213383553</v>
      </c>
      <c r="F16" s="58">
        <f t="shared" si="6"/>
        <v>5728265.7876835223</v>
      </c>
      <c r="G16" s="58">
        <f t="shared" si="6"/>
        <v>9888022.9436218161</v>
      </c>
      <c r="H16" s="58">
        <f t="shared" si="6"/>
        <v>13971684.310422067</v>
      </c>
      <c r="I16" s="58">
        <f t="shared" si="6"/>
        <v>19140025.289678786</v>
      </c>
      <c r="J16" s="58">
        <f t="shared" si="6"/>
        <v>64289912.647633187</v>
      </c>
      <c r="K16" s="58">
        <f t="shared" si="6"/>
        <v>135974669.70973319</v>
      </c>
      <c r="L16">
        <v>13.99</v>
      </c>
      <c r="W16" s="11"/>
    </row>
    <row r="17" spans="1:27" x14ac:dyDescent="0.25">
      <c r="A17" s="33" t="s">
        <v>358</v>
      </c>
      <c r="B17" s="36">
        <v>0.65</v>
      </c>
      <c r="C17" s="36">
        <v>0.65</v>
      </c>
      <c r="D17" s="36">
        <v>0.65</v>
      </c>
      <c r="E17" s="36">
        <v>0.65</v>
      </c>
      <c r="F17" s="36">
        <v>0.65</v>
      </c>
      <c r="G17" s="36">
        <v>0.65</v>
      </c>
      <c r="H17" s="36">
        <v>0.65</v>
      </c>
      <c r="I17" s="36">
        <v>0.65</v>
      </c>
      <c r="J17" s="36">
        <v>0.65</v>
      </c>
      <c r="K17" s="36">
        <v>0.65</v>
      </c>
      <c r="W17" s="11"/>
    </row>
    <row r="18" spans="1:27" x14ac:dyDescent="0.25">
      <c r="A18" s="33" t="s">
        <v>362</v>
      </c>
      <c r="B18" s="58">
        <f>$L$18*B12*B19*1</f>
        <v>112017.44400000003</v>
      </c>
      <c r="C18" s="58">
        <f t="shared" ref="C18:K18" si="7">$L$18*C12*C19*1</f>
        <v>239231.95296000002</v>
      </c>
      <c r="D18" s="58">
        <f t="shared" si="7"/>
        <v>613413.11401920009</v>
      </c>
      <c r="E18" s="58">
        <f t="shared" si="7"/>
        <v>1199815.6101643008</v>
      </c>
      <c r="F18" s="58">
        <f t="shared" si="7"/>
        <v>2141131.0730011868</v>
      </c>
      <c r="G18" s="58">
        <f t="shared" si="7"/>
        <v>3695979.5442206576</v>
      </c>
      <c r="H18" s="58">
        <f t="shared" si="7"/>
        <v>5222384.6671935571</v>
      </c>
      <c r="I18" s="58">
        <f t="shared" si="7"/>
        <v>7154225.1014041016</v>
      </c>
      <c r="J18" s="58">
        <f t="shared" si="7"/>
        <v>24030506.745401133</v>
      </c>
      <c r="K18" s="58">
        <f t="shared" si="7"/>
        <v>50825084.108801134</v>
      </c>
      <c r="L18">
        <v>135.96</v>
      </c>
      <c r="W18" s="11"/>
    </row>
    <row r="19" spans="1:27" x14ac:dyDescent="0.25">
      <c r="A19" s="33" t="s">
        <v>358</v>
      </c>
      <c r="B19" s="36">
        <v>0.3</v>
      </c>
      <c r="C19" s="36">
        <v>0.3</v>
      </c>
      <c r="D19" s="36">
        <v>0.3</v>
      </c>
      <c r="E19" s="36">
        <v>0.3</v>
      </c>
      <c r="F19" s="36">
        <v>0.3</v>
      </c>
      <c r="G19" s="36">
        <v>0.3</v>
      </c>
      <c r="H19" s="36">
        <v>0.3</v>
      </c>
      <c r="I19" s="36">
        <v>0.3</v>
      </c>
      <c r="J19" s="36">
        <v>0.3</v>
      </c>
      <c r="K19" s="36">
        <v>0.3</v>
      </c>
      <c r="W19" s="11"/>
    </row>
    <row r="20" spans="1:27" ht="15" customHeight="1" x14ac:dyDescent="0.25">
      <c r="A20" s="29" t="s">
        <v>88</v>
      </c>
      <c r="B20" s="50">
        <f>SUM(B18+B16+B14)</f>
        <v>454474.22533333342</v>
      </c>
      <c r="C20" s="50">
        <f>SUM(C18+C16+C14)</f>
        <v>970605.58261333348</v>
      </c>
      <c r="D20" s="50">
        <f t="shared" ref="D20:K20" si="8">SUM(D18+D16+D14)</f>
        <v>2488723.5402656007</v>
      </c>
      <c r="E20" s="50">
        <f t="shared" si="8"/>
        <v>4867860.3126514945</v>
      </c>
      <c r="F20" s="50">
        <f t="shared" si="8"/>
        <v>8686940.6316693239</v>
      </c>
      <c r="G20" s="50">
        <f t="shared" si="8"/>
        <v>14995230.923208084</v>
      </c>
      <c r="H20" s="50">
        <f t="shared" si="8"/>
        <v>21188121.610911507</v>
      </c>
      <c r="I20" s="50">
        <f t="shared" si="8"/>
        <v>29025933.771716099</v>
      </c>
      <c r="J20" s="50">
        <f t="shared" si="8"/>
        <v>97495939.449248835</v>
      </c>
      <c r="K20" s="50">
        <f t="shared" si="8"/>
        <v>206206193.45544881</v>
      </c>
      <c r="L20" s="44"/>
      <c r="M20" s="44"/>
      <c r="T20" s="44"/>
      <c r="V20" s="44"/>
      <c r="W20" s="11"/>
    </row>
    <row r="21" spans="1:27" x14ac:dyDescent="0.25">
      <c r="A21" s="29" t="s">
        <v>21</v>
      </c>
      <c r="B21" s="6">
        <f>B20/B12</f>
        <v>165.48400000000001</v>
      </c>
      <c r="C21" s="6">
        <f t="shared" ref="C21:K21" si="9">C20/C12</f>
        <v>165.48400000000001</v>
      </c>
      <c r="D21" s="6">
        <f t="shared" si="9"/>
        <v>165.48400000000004</v>
      </c>
      <c r="E21" s="6">
        <f t="shared" si="9"/>
        <v>165.48400000000001</v>
      </c>
      <c r="F21" s="6">
        <f t="shared" si="9"/>
        <v>165.48400000000001</v>
      </c>
      <c r="G21" s="6">
        <f t="shared" si="9"/>
        <v>165.48400000000001</v>
      </c>
      <c r="H21" s="6">
        <f t="shared" si="9"/>
        <v>165.48400000000001</v>
      </c>
      <c r="I21" s="6">
        <f t="shared" si="9"/>
        <v>165.48399999999998</v>
      </c>
      <c r="J21" s="6">
        <f t="shared" si="9"/>
        <v>165.48400000000004</v>
      </c>
      <c r="K21" s="6">
        <f t="shared" si="9"/>
        <v>165.48400000000001</v>
      </c>
      <c r="L21" s="44"/>
      <c r="M21" s="44"/>
      <c r="T21" s="44"/>
      <c r="U21" s="44"/>
      <c r="V21" s="44"/>
      <c r="W21" s="11"/>
    </row>
    <row r="22" spans="1:27" x14ac:dyDescent="0.25">
      <c r="A22" s="29"/>
      <c r="B22" s="6"/>
      <c r="C22" s="6"/>
      <c r="D22" s="6"/>
      <c r="E22" s="6"/>
      <c r="F22" s="6"/>
      <c r="G22" s="6"/>
      <c r="H22" s="6"/>
      <c r="I22" s="6"/>
      <c r="J22" s="6"/>
      <c r="K22" s="6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</row>
    <row r="23" spans="1:27" x14ac:dyDescent="0.25">
      <c r="A23" s="33" t="s">
        <v>22</v>
      </c>
      <c r="B23" s="6">
        <v>1.5</v>
      </c>
      <c r="C23" s="6">
        <v>1.5</v>
      </c>
      <c r="D23" s="6">
        <v>1.5</v>
      </c>
      <c r="E23" s="6">
        <v>1.5</v>
      </c>
      <c r="F23" s="6">
        <v>1.5</v>
      </c>
      <c r="G23" s="6">
        <v>1.5</v>
      </c>
      <c r="H23" s="6">
        <v>1.5</v>
      </c>
      <c r="I23" s="6">
        <v>1.5</v>
      </c>
      <c r="J23" s="6">
        <v>1.5</v>
      </c>
      <c r="K23" s="6">
        <v>1.5</v>
      </c>
      <c r="L23" s="44"/>
      <c r="M23" s="44"/>
      <c r="N23" s="44"/>
      <c r="Q23" s="44"/>
      <c r="R23" s="44"/>
      <c r="S23" s="44"/>
      <c r="T23" s="44"/>
      <c r="U23" s="44"/>
      <c r="V23" s="44"/>
    </row>
    <row r="24" spans="1:27" x14ac:dyDescent="0.25">
      <c r="A24" s="33" t="s">
        <v>23</v>
      </c>
      <c r="B24" s="57">
        <f>B10*B23</f>
        <v>37075.5</v>
      </c>
      <c r="C24" s="57">
        <f t="shared" ref="C24:K24" si="10">C10*C23</f>
        <v>79180.920000000013</v>
      </c>
      <c r="D24" s="57">
        <f t="shared" si="10"/>
        <v>203027.28839999999</v>
      </c>
      <c r="E24" s="57">
        <f t="shared" si="10"/>
        <v>323574.86789759999</v>
      </c>
      <c r="F24" s="57">
        <f t="shared" si="10"/>
        <v>577435.56445555203</v>
      </c>
      <c r="G24" s="57">
        <f t="shared" si="10"/>
        <v>996758.23738421209</v>
      </c>
      <c r="H24" s="57">
        <f t="shared" si="10"/>
        <v>1285297.3330556483</v>
      </c>
      <c r="I24" s="57">
        <f t="shared" si="10"/>
        <v>1616187.9510800252</v>
      </c>
      <c r="J24" s="57">
        <f t="shared" si="10"/>
        <v>5007828.462682887</v>
      </c>
      <c r="K24" s="57">
        <f t="shared" si="10"/>
        <v>10591674.387682887</v>
      </c>
      <c r="N24" s="44"/>
    </row>
    <row r="25" spans="1:27" x14ac:dyDescent="0.25">
      <c r="A25" s="29" t="s">
        <v>24</v>
      </c>
      <c r="B25" s="56">
        <f>B20+B24</f>
        <v>491549.72533333342</v>
      </c>
      <c r="C25" s="56">
        <f t="shared" ref="C25:K25" si="11">C20+C24</f>
        <v>1049786.5026133335</v>
      </c>
      <c r="D25" s="56">
        <f t="shared" si="11"/>
        <v>2691750.8286656006</v>
      </c>
      <c r="E25" s="56">
        <f t="shared" si="11"/>
        <v>5191435.1805490945</v>
      </c>
      <c r="F25" s="56">
        <f t="shared" si="11"/>
        <v>9264376.1961248759</v>
      </c>
      <c r="G25" s="56">
        <f t="shared" si="11"/>
        <v>15991989.160592295</v>
      </c>
      <c r="H25" s="56">
        <f t="shared" si="11"/>
        <v>22473418.943967156</v>
      </c>
      <c r="I25" s="56">
        <f t="shared" si="11"/>
        <v>30642121.722796123</v>
      </c>
      <c r="J25" s="56">
        <f t="shared" si="11"/>
        <v>102503767.91193172</v>
      </c>
      <c r="K25" s="56">
        <f t="shared" si="11"/>
        <v>216797867.84313169</v>
      </c>
    </row>
    <row r="26" spans="1:27" x14ac:dyDescent="0.25">
      <c r="A26" s="26" t="s">
        <v>25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Z26" s="15"/>
      <c r="AA26" s="11"/>
    </row>
    <row r="27" spans="1:27" ht="17.25" x14ac:dyDescent="0.25">
      <c r="A27" s="29" t="s">
        <v>89</v>
      </c>
      <c r="B27" s="37">
        <v>40000</v>
      </c>
      <c r="C27" s="37">
        <v>56000</v>
      </c>
      <c r="D27" s="37">
        <v>95000</v>
      </c>
      <c r="E27" s="37">
        <v>126184</v>
      </c>
      <c r="F27" s="37">
        <v>268413</v>
      </c>
      <c r="G27" s="37">
        <v>316805</v>
      </c>
      <c r="H27" s="37">
        <v>373587</v>
      </c>
      <c r="I27" s="37">
        <v>440832</v>
      </c>
      <c r="J27" s="37">
        <v>3306240</v>
      </c>
      <c r="K27" s="37">
        <v>5480496</v>
      </c>
      <c r="Z27" s="15"/>
      <c r="AA27" s="11"/>
    </row>
    <row r="28" spans="1:27" x14ac:dyDescent="0.25">
      <c r="A28" s="33" t="s">
        <v>26</v>
      </c>
      <c r="B28" s="30">
        <f t="shared" ref="B28:K28" si="12">B27*$A$32</f>
        <v>10000</v>
      </c>
      <c r="C28" s="30">
        <f t="shared" si="12"/>
        <v>14000</v>
      </c>
      <c r="D28" s="30">
        <f t="shared" si="12"/>
        <v>23750</v>
      </c>
      <c r="E28" s="30">
        <f t="shared" si="12"/>
        <v>31546</v>
      </c>
      <c r="F28" s="30">
        <f t="shared" si="12"/>
        <v>67103.25</v>
      </c>
      <c r="G28" s="30">
        <f t="shared" si="12"/>
        <v>79201.25</v>
      </c>
      <c r="H28" s="30">
        <f t="shared" si="12"/>
        <v>93396.75</v>
      </c>
      <c r="I28" s="30">
        <f t="shared" si="12"/>
        <v>110208</v>
      </c>
      <c r="J28" s="30">
        <f t="shared" si="12"/>
        <v>826560</v>
      </c>
      <c r="K28" s="30">
        <f t="shared" si="12"/>
        <v>1370124</v>
      </c>
      <c r="O28" s="44"/>
      <c r="P28" s="44"/>
      <c r="Z28" s="15"/>
      <c r="AA28" s="11"/>
    </row>
    <row r="29" spans="1:27" x14ac:dyDescent="0.25">
      <c r="A29" s="33" t="s">
        <v>27</v>
      </c>
      <c r="B29" s="30">
        <f>B27*$A$33</f>
        <v>20000</v>
      </c>
      <c r="C29" s="30">
        <f>C27*$A$33</f>
        <v>28000</v>
      </c>
      <c r="D29" s="30">
        <f t="shared" ref="D29:K29" si="13">D27*$A$33</f>
        <v>47500</v>
      </c>
      <c r="E29" s="30">
        <f>E27*$A$33</f>
        <v>63092</v>
      </c>
      <c r="F29" s="30">
        <f t="shared" si="13"/>
        <v>134206.5</v>
      </c>
      <c r="G29" s="30">
        <f t="shared" si="13"/>
        <v>158402.5</v>
      </c>
      <c r="H29" s="30">
        <f t="shared" si="13"/>
        <v>186793.5</v>
      </c>
      <c r="I29" s="30">
        <f t="shared" si="13"/>
        <v>220416</v>
      </c>
      <c r="J29" s="30">
        <f t="shared" si="13"/>
        <v>1653120</v>
      </c>
      <c r="K29" s="30">
        <f t="shared" si="13"/>
        <v>2740248</v>
      </c>
      <c r="O29" s="44"/>
      <c r="P29" s="44"/>
      <c r="Z29" s="15"/>
      <c r="AA29" s="11"/>
    </row>
    <row r="30" spans="1:27" x14ac:dyDescent="0.25">
      <c r="A30" s="33" t="s">
        <v>28</v>
      </c>
      <c r="B30" s="30">
        <f>B27*$A$34</f>
        <v>10000</v>
      </c>
      <c r="C30" s="30">
        <f>C27*$A$34</f>
        <v>14000</v>
      </c>
      <c r="D30" s="30">
        <f t="shared" ref="D30:K30" si="14">D27*$A$34</f>
        <v>23750</v>
      </c>
      <c r="E30" s="30">
        <f t="shared" si="14"/>
        <v>31546</v>
      </c>
      <c r="F30" s="30">
        <f t="shared" si="14"/>
        <v>67103.25</v>
      </c>
      <c r="G30" s="30">
        <f t="shared" si="14"/>
        <v>79201.25</v>
      </c>
      <c r="H30" s="30">
        <f t="shared" si="14"/>
        <v>93396.75</v>
      </c>
      <c r="I30" s="30">
        <f t="shared" si="14"/>
        <v>110208</v>
      </c>
      <c r="J30" s="30">
        <f t="shared" si="14"/>
        <v>826560</v>
      </c>
      <c r="K30" s="30">
        <f t="shared" si="14"/>
        <v>1370124</v>
      </c>
      <c r="O30" s="44"/>
      <c r="P30" s="44"/>
      <c r="Z30" s="15"/>
      <c r="AA30" s="11"/>
    </row>
    <row r="31" spans="1:27" hidden="1" x14ac:dyDescent="0.25">
      <c r="A31" s="31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Z31" s="15"/>
      <c r="AA31" s="11"/>
    </row>
    <row r="32" spans="1:27" hidden="1" x14ac:dyDescent="0.25">
      <c r="A32" s="39">
        <v>0.25</v>
      </c>
      <c r="B32" s="3"/>
      <c r="C32" s="3"/>
      <c r="D32" s="3"/>
      <c r="E32" s="3"/>
      <c r="F32" s="3"/>
      <c r="G32" s="3"/>
      <c r="H32" s="3"/>
      <c r="I32" s="3"/>
      <c r="J32" s="3"/>
      <c r="K32" s="3"/>
      <c r="Z32" s="15"/>
      <c r="AA32" s="11"/>
    </row>
    <row r="33" spans="1:22" hidden="1" x14ac:dyDescent="0.25">
      <c r="A33" s="39">
        <v>0.5</v>
      </c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22" hidden="1" x14ac:dyDescent="0.25">
      <c r="A34" s="39">
        <v>0.25</v>
      </c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22" x14ac:dyDescent="0.25">
      <c r="A35" s="33"/>
      <c r="B35" s="3"/>
      <c r="C35" s="3"/>
      <c r="D35" s="3"/>
      <c r="E35" s="3"/>
      <c r="F35" s="3"/>
      <c r="G35" s="3"/>
      <c r="H35" s="3"/>
      <c r="I35" s="3"/>
      <c r="J35" s="3"/>
      <c r="K35" s="3"/>
      <c r="O35" s="5"/>
    </row>
    <row r="36" spans="1:22" ht="17.25" x14ac:dyDescent="0.25">
      <c r="A36" s="29" t="s">
        <v>90</v>
      </c>
      <c r="E36" s="35">
        <v>0.15</v>
      </c>
      <c r="F36" t="s">
        <v>30</v>
      </c>
      <c r="J36" s="35">
        <v>0.2</v>
      </c>
      <c r="K36" t="s">
        <v>30</v>
      </c>
    </row>
    <row r="37" spans="1:22" x14ac:dyDescent="0.25">
      <c r="A37" s="33" t="s">
        <v>31</v>
      </c>
      <c r="B37" s="6">
        <v>2.5</v>
      </c>
      <c r="C37" s="6">
        <f t="shared" ref="C37:D39" si="15">B37</f>
        <v>2.5</v>
      </c>
      <c r="D37" s="6">
        <f t="shared" si="15"/>
        <v>2.5</v>
      </c>
      <c r="E37" s="7">
        <f>$D$37*(1-$E$36)</f>
        <v>2.125</v>
      </c>
      <c r="F37" s="7">
        <f t="shared" ref="F37:I37" si="16">$D$37*(1-$E$36)</f>
        <v>2.125</v>
      </c>
      <c r="G37" s="7">
        <f t="shared" si="16"/>
        <v>2.125</v>
      </c>
      <c r="H37" s="7">
        <f t="shared" si="16"/>
        <v>2.125</v>
      </c>
      <c r="I37" s="7">
        <f t="shared" si="16"/>
        <v>2.125</v>
      </c>
      <c r="J37" s="7">
        <f>$D$37*(1-$J$36)</f>
        <v>2</v>
      </c>
      <c r="K37" s="7">
        <f>$D$37*(1-$J$36)</f>
        <v>2</v>
      </c>
      <c r="Q37" s="8"/>
    </row>
    <row r="38" spans="1:22" x14ac:dyDescent="0.25">
      <c r="A38" s="33" t="s">
        <v>32</v>
      </c>
      <c r="B38" s="6">
        <v>2</v>
      </c>
      <c r="C38" s="6">
        <f t="shared" si="15"/>
        <v>2</v>
      </c>
      <c r="D38" s="6">
        <f t="shared" si="15"/>
        <v>2</v>
      </c>
      <c r="E38" s="7">
        <f>$D$38*(1-$E$36)</f>
        <v>1.7</v>
      </c>
      <c r="F38" s="7">
        <f t="shared" ref="F38:I38" si="17">$D$38*(1-$E$36)</f>
        <v>1.7</v>
      </c>
      <c r="G38" s="7">
        <f t="shared" si="17"/>
        <v>1.7</v>
      </c>
      <c r="H38" s="7">
        <f t="shared" si="17"/>
        <v>1.7</v>
      </c>
      <c r="I38" s="7">
        <f t="shared" si="17"/>
        <v>1.7</v>
      </c>
      <c r="J38" s="7">
        <f>$D$38*(1-$J$36)</f>
        <v>1.6</v>
      </c>
      <c r="K38" s="7">
        <f>$D$38*(1-$J$36)</f>
        <v>1.6</v>
      </c>
    </row>
    <row r="39" spans="1:22" x14ac:dyDescent="0.25">
      <c r="A39" s="33" t="s">
        <v>33</v>
      </c>
      <c r="B39" s="6">
        <v>1.5</v>
      </c>
      <c r="C39" s="6">
        <f t="shared" si="15"/>
        <v>1.5</v>
      </c>
      <c r="D39" s="6">
        <f t="shared" si="15"/>
        <v>1.5</v>
      </c>
      <c r="E39" s="7">
        <f>$D$39*(1-$E$36)</f>
        <v>1.2749999999999999</v>
      </c>
      <c r="F39" s="7">
        <f t="shared" ref="F39:I39" si="18">$D$39*(1-$E$36)</f>
        <v>1.2749999999999999</v>
      </c>
      <c r="G39" s="7">
        <f t="shared" si="18"/>
        <v>1.2749999999999999</v>
      </c>
      <c r="H39" s="7">
        <f t="shared" si="18"/>
        <v>1.2749999999999999</v>
      </c>
      <c r="I39" s="7">
        <f t="shared" si="18"/>
        <v>1.2749999999999999</v>
      </c>
      <c r="J39" s="7">
        <f>$D$39*(1-$J$36)</f>
        <v>1.2000000000000002</v>
      </c>
      <c r="K39" s="7">
        <f>$D$39*(1-$J$36)</f>
        <v>1.2000000000000002</v>
      </c>
    </row>
    <row r="40" spans="1:22" x14ac:dyDescent="0.25">
      <c r="A40" s="31" t="s">
        <v>34</v>
      </c>
      <c r="B40" s="9"/>
      <c r="C40" s="3"/>
      <c r="D40" s="3"/>
      <c r="E40" s="3"/>
      <c r="F40" s="3"/>
      <c r="G40" s="3"/>
      <c r="H40" s="3"/>
      <c r="I40" s="3"/>
      <c r="J40" s="3"/>
      <c r="K40" s="3"/>
    </row>
    <row r="41" spans="1:22" x14ac:dyDescent="0.25">
      <c r="A41" s="33" t="s">
        <v>31</v>
      </c>
      <c r="B41" s="3">
        <f>B28/B37</f>
        <v>4000</v>
      </c>
      <c r="C41" s="3">
        <f>C28/C37</f>
        <v>5600</v>
      </c>
      <c r="D41" s="3">
        <f t="shared" ref="D41:K41" si="19">D28/D37</f>
        <v>9500</v>
      </c>
      <c r="E41" s="3">
        <f t="shared" si="19"/>
        <v>14845.176470588236</v>
      </c>
      <c r="F41" s="3">
        <f t="shared" si="19"/>
        <v>31578</v>
      </c>
      <c r="G41" s="3">
        <f t="shared" si="19"/>
        <v>37271.176470588238</v>
      </c>
      <c r="H41" s="3">
        <f t="shared" si="19"/>
        <v>43951.411764705881</v>
      </c>
      <c r="I41" s="3">
        <f t="shared" si="19"/>
        <v>51862.588235294119</v>
      </c>
      <c r="J41" s="3">
        <f t="shared" si="19"/>
        <v>413280</v>
      </c>
      <c r="K41" s="3">
        <f t="shared" si="19"/>
        <v>685062</v>
      </c>
      <c r="O41" s="5"/>
      <c r="V41" s="15"/>
    </row>
    <row r="42" spans="1:22" x14ac:dyDescent="0.25">
      <c r="A42" s="33" t="s">
        <v>32</v>
      </c>
      <c r="B42" s="3">
        <f>B29/B38</f>
        <v>10000</v>
      </c>
      <c r="C42" s="3">
        <f t="shared" ref="C42:K43" si="20">C29/C38</f>
        <v>14000</v>
      </c>
      <c r="D42" s="3">
        <f t="shared" si="20"/>
        <v>23750</v>
      </c>
      <c r="E42" s="3">
        <f t="shared" si="20"/>
        <v>37112.941176470587</v>
      </c>
      <c r="F42" s="3">
        <f t="shared" si="20"/>
        <v>78945</v>
      </c>
      <c r="G42" s="3">
        <f t="shared" si="20"/>
        <v>93177.941176470587</v>
      </c>
      <c r="H42" s="3">
        <f t="shared" si="20"/>
        <v>109878.52941176471</v>
      </c>
      <c r="I42" s="3">
        <f t="shared" si="20"/>
        <v>129656.4705882353</v>
      </c>
      <c r="J42" s="3">
        <f t="shared" si="20"/>
        <v>1033200</v>
      </c>
      <c r="K42" s="3">
        <f t="shared" si="20"/>
        <v>1712655</v>
      </c>
    </row>
    <row r="43" spans="1:22" x14ac:dyDescent="0.25">
      <c r="A43" s="33" t="s">
        <v>33</v>
      </c>
      <c r="B43" s="3">
        <f>B30/B39</f>
        <v>6666.666666666667</v>
      </c>
      <c r="C43" s="3">
        <f t="shared" si="20"/>
        <v>9333.3333333333339</v>
      </c>
      <c r="D43" s="3">
        <f t="shared" si="20"/>
        <v>15833.333333333334</v>
      </c>
      <c r="E43" s="3">
        <f t="shared" si="20"/>
        <v>24741.960784313727</v>
      </c>
      <c r="F43" s="3">
        <f t="shared" si="20"/>
        <v>52630.000000000007</v>
      </c>
      <c r="G43" s="3">
        <f t="shared" si="20"/>
        <v>62118.627450980399</v>
      </c>
      <c r="H43" s="3">
        <f t="shared" si="20"/>
        <v>73252.352941176476</v>
      </c>
      <c r="I43" s="3">
        <f t="shared" si="20"/>
        <v>86437.647058823539</v>
      </c>
      <c r="J43" s="3">
        <f t="shared" si="20"/>
        <v>688799.99999999988</v>
      </c>
      <c r="K43" s="3">
        <f t="shared" si="20"/>
        <v>1141769.9999999998</v>
      </c>
    </row>
    <row r="44" spans="1:22" x14ac:dyDescent="0.25">
      <c r="A44" s="26" t="s">
        <v>35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22" x14ac:dyDescent="0.25">
      <c r="A45" s="29" t="s">
        <v>36</v>
      </c>
      <c r="B45" s="37">
        <f>SUM(B28:B30)</f>
        <v>40000</v>
      </c>
      <c r="C45" s="37">
        <v>56000</v>
      </c>
      <c r="D45" s="37">
        <v>78963</v>
      </c>
      <c r="E45" s="37">
        <v>126184</v>
      </c>
      <c r="F45" s="37">
        <v>268413</v>
      </c>
      <c r="G45" s="37">
        <v>316805</v>
      </c>
      <c r="H45" s="37">
        <v>373587</v>
      </c>
      <c r="I45" s="37">
        <v>440832</v>
      </c>
      <c r="J45" s="37">
        <v>3306240</v>
      </c>
      <c r="K45" s="37">
        <v>5480496</v>
      </c>
    </row>
    <row r="46" spans="1:22" x14ac:dyDescent="0.25">
      <c r="A46" s="29"/>
      <c r="B46" s="38"/>
      <c r="C46" s="38"/>
      <c r="D46" s="38"/>
      <c r="E46" s="38"/>
      <c r="F46" s="38"/>
      <c r="G46" s="38"/>
      <c r="H46" s="38"/>
      <c r="I46" s="38"/>
      <c r="J46" s="38"/>
      <c r="K46" s="38"/>
    </row>
    <row r="47" spans="1:22" x14ac:dyDescent="0.25">
      <c r="A47" s="29" t="s">
        <v>37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</row>
    <row r="48" spans="1:22" x14ac:dyDescent="0.25">
      <c r="A48" s="4" t="s">
        <v>359</v>
      </c>
      <c r="B48" s="30">
        <v>50000</v>
      </c>
      <c r="C48" s="30">
        <v>50000</v>
      </c>
      <c r="D48" s="30">
        <v>200000</v>
      </c>
      <c r="E48" s="30">
        <f>D48*1.2</f>
        <v>240000</v>
      </c>
      <c r="F48" s="30">
        <f t="shared" ref="F48:K48" si="21">E48*1.2</f>
        <v>288000</v>
      </c>
      <c r="G48" s="30">
        <f t="shared" si="21"/>
        <v>345600</v>
      </c>
      <c r="H48" s="30">
        <f t="shared" si="21"/>
        <v>414720</v>
      </c>
      <c r="I48" s="30">
        <f t="shared" si="21"/>
        <v>497664</v>
      </c>
      <c r="J48" s="30">
        <f t="shared" si="21"/>
        <v>597196.79999999993</v>
      </c>
      <c r="K48" s="30">
        <f t="shared" si="21"/>
        <v>716636.15999999992</v>
      </c>
    </row>
    <row r="49" spans="1:15" ht="17.25" x14ac:dyDescent="0.25">
      <c r="A49" s="40" t="s">
        <v>92</v>
      </c>
      <c r="B49" s="3">
        <v>0</v>
      </c>
      <c r="C49" s="3">
        <v>1</v>
      </c>
      <c r="D49" s="3">
        <v>2</v>
      </c>
      <c r="E49" s="3">
        <v>3</v>
      </c>
      <c r="F49" s="3">
        <v>4</v>
      </c>
      <c r="G49" s="3">
        <v>5</v>
      </c>
      <c r="H49" s="3">
        <v>7</v>
      </c>
      <c r="I49" s="3">
        <v>8</v>
      </c>
      <c r="J49" s="3">
        <v>30</v>
      </c>
      <c r="K49" s="3">
        <v>60</v>
      </c>
    </row>
    <row r="50" spans="1:15" x14ac:dyDescent="0.25">
      <c r="A50" s="33" t="s">
        <v>38</v>
      </c>
      <c r="B50" s="30">
        <f>20000*B49</f>
        <v>0</v>
      </c>
      <c r="C50" s="30">
        <f t="shared" ref="C50:K50" si="22">20000*C49</f>
        <v>20000</v>
      </c>
      <c r="D50" s="30">
        <f t="shared" si="22"/>
        <v>40000</v>
      </c>
      <c r="E50" s="30">
        <f t="shared" si="22"/>
        <v>60000</v>
      </c>
      <c r="F50" s="30">
        <f t="shared" si="22"/>
        <v>80000</v>
      </c>
      <c r="G50" s="30">
        <f t="shared" si="22"/>
        <v>100000</v>
      </c>
      <c r="H50" s="30">
        <f t="shared" si="22"/>
        <v>140000</v>
      </c>
      <c r="I50" s="30">
        <f t="shared" si="22"/>
        <v>160000</v>
      </c>
      <c r="J50" s="30">
        <f t="shared" si="22"/>
        <v>600000</v>
      </c>
      <c r="K50" s="30">
        <f t="shared" si="22"/>
        <v>1200000</v>
      </c>
    </row>
    <row r="51" spans="1:15" ht="17.25" x14ac:dyDescent="0.25">
      <c r="A51" s="41" t="s">
        <v>91</v>
      </c>
      <c r="B51" s="3">
        <v>1</v>
      </c>
      <c r="C51" s="3">
        <v>2</v>
      </c>
      <c r="D51" s="3">
        <v>3</v>
      </c>
      <c r="E51" s="3">
        <v>6</v>
      </c>
      <c r="F51" s="3">
        <v>7</v>
      </c>
      <c r="G51" s="3">
        <v>8</v>
      </c>
      <c r="H51" s="3">
        <v>10</v>
      </c>
      <c r="I51" s="3">
        <v>15</v>
      </c>
      <c r="J51" s="3">
        <v>20</v>
      </c>
      <c r="K51" s="3">
        <v>30</v>
      </c>
    </row>
    <row r="52" spans="1:15" x14ac:dyDescent="0.25">
      <c r="A52" s="33" t="s">
        <v>39</v>
      </c>
      <c r="B52" s="30">
        <f>30000*B51</f>
        <v>30000</v>
      </c>
      <c r="C52" s="30">
        <f t="shared" ref="C52:K52" si="23">30000*C51</f>
        <v>60000</v>
      </c>
      <c r="D52" s="30">
        <f t="shared" si="23"/>
        <v>90000</v>
      </c>
      <c r="E52" s="30">
        <f t="shared" si="23"/>
        <v>180000</v>
      </c>
      <c r="F52" s="30">
        <f t="shared" si="23"/>
        <v>210000</v>
      </c>
      <c r="G52" s="30">
        <f t="shared" si="23"/>
        <v>240000</v>
      </c>
      <c r="H52" s="30">
        <f t="shared" si="23"/>
        <v>300000</v>
      </c>
      <c r="I52" s="30">
        <f t="shared" si="23"/>
        <v>450000</v>
      </c>
      <c r="J52" s="30">
        <f t="shared" si="23"/>
        <v>600000</v>
      </c>
      <c r="K52" s="30">
        <f t="shared" si="23"/>
        <v>900000</v>
      </c>
    </row>
    <row r="53" spans="1:15" x14ac:dyDescent="0.25">
      <c r="A53" s="31" t="s">
        <v>40</v>
      </c>
      <c r="B53" s="37">
        <f>SUM(B52,B50,B48)</f>
        <v>80000</v>
      </c>
      <c r="C53" s="37">
        <f t="shared" ref="C53:K53" si="24">SUM(C52,C50,C48)</f>
        <v>130000</v>
      </c>
      <c r="D53" s="37">
        <f t="shared" si="24"/>
        <v>330000</v>
      </c>
      <c r="E53" s="37">
        <f t="shared" si="24"/>
        <v>480000</v>
      </c>
      <c r="F53" s="37">
        <f t="shared" si="24"/>
        <v>578000</v>
      </c>
      <c r="G53" s="37">
        <f t="shared" si="24"/>
        <v>685600</v>
      </c>
      <c r="H53" s="37">
        <f t="shared" si="24"/>
        <v>854720</v>
      </c>
      <c r="I53" s="37">
        <f t="shared" si="24"/>
        <v>1107664</v>
      </c>
      <c r="J53" s="37">
        <f t="shared" si="24"/>
        <v>1797196.7999999998</v>
      </c>
      <c r="K53" s="37">
        <f t="shared" si="24"/>
        <v>2816636.16</v>
      </c>
    </row>
    <row r="54" spans="1:15" x14ac:dyDescent="0.25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5" x14ac:dyDescent="0.25">
      <c r="A55" s="29" t="s">
        <v>361</v>
      </c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5" x14ac:dyDescent="0.25">
      <c r="A56" s="33" t="s">
        <v>41</v>
      </c>
      <c r="B56" s="30">
        <v>5000</v>
      </c>
      <c r="C56" s="30">
        <v>5000</v>
      </c>
      <c r="D56" s="30">
        <v>10000</v>
      </c>
      <c r="E56" s="30">
        <v>15000</v>
      </c>
      <c r="F56" s="30">
        <v>20000</v>
      </c>
      <c r="G56" s="30">
        <v>25000</v>
      </c>
      <c r="H56" s="30">
        <v>30000</v>
      </c>
      <c r="I56" s="30">
        <v>35000</v>
      </c>
      <c r="J56" s="30">
        <v>100000</v>
      </c>
      <c r="K56" s="30">
        <v>1000000</v>
      </c>
    </row>
    <row r="57" spans="1:15" x14ac:dyDescent="0.25">
      <c r="A57" s="33" t="s">
        <v>42</v>
      </c>
      <c r="B57" s="30">
        <v>2000</v>
      </c>
      <c r="C57" s="30">
        <v>10000</v>
      </c>
      <c r="D57" s="30">
        <v>20000</v>
      </c>
      <c r="E57" s="30">
        <v>80000</v>
      </c>
      <c r="F57" s="30">
        <v>120000</v>
      </c>
      <c r="G57" s="30">
        <v>120000</v>
      </c>
      <c r="H57" s="30">
        <v>120000</v>
      </c>
      <c r="I57" s="30">
        <v>250000</v>
      </c>
      <c r="J57" s="30">
        <v>350000</v>
      </c>
      <c r="K57" s="30">
        <v>500000</v>
      </c>
    </row>
    <row r="58" spans="1:15" x14ac:dyDescent="0.25">
      <c r="A58" s="4"/>
      <c r="B58" s="30"/>
      <c r="C58" s="30"/>
      <c r="D58" s="30"/>
      <c r="E58" s="30"/>
      <c r="F58" s="30"/>
      <c r="G58" s="30"/>
      <c r="H58" s="30"/>
      <c r="I58" s="30"/>
      <c r="J58" s="30"/>
      <c r="K58" s="30"/>
    </row>
    <row r="59" spans="1:15" x14ac:dyDescent="0.25">
      <c r="A59" s="29" t="s">
        <v>43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</row>
    <row r="60" spans="1:15" x14ac:dyDescent="0.25">
      <c r="A60" s="33" t="s">
        <v>44</v>
      </c>
      <c r="B60" s="30">
        <v>99</v>
      </c>
      <c r="C60" s="30">
        <v>99</v>
      </c>
      <c r="D60" s="30">
        <v>99</v>
      </c>
      <c r="E60" s="30">
        <v>99</v>
      </c>
      <c r="F60" s="30">
        <f>99+99</f>
        <v>198</v>
      </c>
      <c r="G60" s="30">
        <f t="shared" ref="G60:K60" si="25">99+99</f>
        <v>198</v>
      </c>
      <c r="H60" s="30">
        <f t="shared" si="25"/>
        <v>198</v>
      </c>
      <c r="I60" s="30">
        <f t="shared" si="25"/>
        <v>198</v>
      </c>
      <c r="J60" s="30">
        <f t="shared" si="25"/>
        <v>198</v>
      </c>
      <c r="K60" s="30">
        <f t="shared" si="25"/>
        <v>198</v>
      </c>
    </row>
    <row r="61" spans="1:15" x14ac:dyDescent="0.25">
      <c r="A61" s="33" t="s">
        <v>45</v>
      </c>
      <c r="B61" s="30">
        <v>252</v>
      </c>
      <c r="C61" s="30">
        <v>420</v>
      </c>
      <c r="D61" s="30">
        <v>420</v>
      </c>
      <c r="E61" s="30">
        <v>420</v>
      </c>
      <c r="F61" s="30">
        <v>420</v>
      </c>
      <c r="G61" s="30">
        <v>420</v>
      </c>
      <c r="H61" s="30">
        <v>420</v>
      </c>
      <c r="I61" s="30">
        <v>420</v>
      </c>
      <c r="J61" s="30">
        <v>420</v>
      </c>
      <c r="K61" s="30">
        <v>420</v>
      </c>
    </row>
    <row r="62" spans="1:1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5" ht="17.25" x14ac:dyDescent="0.25">
      <c r="A63" s="31" t="s">
        <v>93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O63" s="5"/>
    </row>
    <row r="64" spans="1:15" x14ac:dyDescent="0.25">
      <c r="A64" s="33" t="s">
        <v>46</v>
      </c>
      <c r="B64" s="30">
        <v>589</v>
      </c>
      <c r="C64" s="30">
        <v>981</v>
      </c>
      <c r="D64" s="30">
        <v>3446</v>
      </c>
      <c r="E64" s="30">
        <v>4751</v>
      </c>
      <c r="F64" s="30">
        <v>8661</v>
      </c>
      <c r="G64" s="30">
        <v>13101</v>
      </c>
      <c r="H64" s="30">
        <v>16272</v>
      </c>
      <c r="I64" s="30">
        <v>19970</v>
      </c>
      <c r="J64" s="30">
        <v>58462</v>
      </c>
      <c r="K64" s="30">
        <v>121890</v>
      </c>
      <c r="O64" s="5"/>
    </row>
    <row r="65" spans="1:34" x14ac:dyDescent="0.25">
      <c r="A65" s="33" t="s">
        <v>47</v>
      </c>
      <c r="B65" s="30">
        <v>401</v>
      </c>
      <c r="C65" s="30">
        <v>835</v>
      </c>
      <c r="D65" s="30">
        <v>2163</v>
      </c>
      <c r="E65" s="30">
        <v>3611</v>
      </c>
      <c r="F65" s="30">
        <v>7949</v>
      </c>
      <c r="G65" s="30">
        <v>12874</v>
      </c>
      <c r="H65" s="30">
        <v>16392</v>
      </c>
      <c r="I65" s="30">
        <v>20494</v>
      </c>
      <c r="J65" s="30">
        <v>61536</v>
      </c>
      <c r="K65" s="30">
        <v>128581</v>
      </c>
      <c r="O65" s="5"/>
    </row>
    <row r="66" spans="1:34" x14ac:dyDescent="0.25">
      <c r="A66" s="33" t="s">
        <v>48</v>
      </c>
      <c r="B66" s="30">
        <v>180</v>
      </c>
      <c r="C66" s="30">
        <v>375</v>
      </c>
      <c r="D66" s="30">
        <v>972</v>
      </c>
      <c r="E66" s="30">
        <v>581</v>
      </c>
      <c r="F66" s="30">
        <v>921</v>
      </c>
      <c r="G66" s="30">
        <v>1307</v>
      </c>
      <c r="H66" s="30">
        <v>1881</v>
      </c>
      <c r="I66" s="30">
        <v>2202</v>
      </c>
      <c r="J66" s="30">
        <v>6016</v>
      </c>
      <c r="K66" s="30">
        <v>12463</v>
      </c>
      <c r="O66" s="5"/>
    </row>
    <row r="67" spans="1:34" x14ac:dyDescent="0.25">
      <c r="A67" s="33" t="s">
        <v>49</v>
      </c>
      <c r="B67" s="30">
        <v>257</v>
      </c>
      <c r="C67" s="30">
        <v>319</v>
      </c>
      <c r="D67" s="30">
        <v>707</v>
      </c>
      <c r="E67" s="30">
        <v>911</v>
      </c>
      <c r="F67" s="30">
        <v>1725</v>
      </c>
      <c r="G67" s="30">
        <v>2621</v>
      </c>
      <c r="H67" s="30">
        <v>3117</v>
      </c>
      <c r="I67" s="30">
        <v>3697</v>
      </c>
      <c r="J67" s="30">
        <v>9686</v>
      </c>
      <c r="K67" s="30">
        <v>19148</v>
      </c>
      <c r="O67" s="5"/>
    </row>
    <row r="68" spans="1:34" x14ac:dyDescent="0.25">
      <c r="A68" s="33" t="s">
        <v>50</v>
      </c>
      <c r="B68" s="30">
        <v>31</v>
      </c>
      <c r="C68" s="30">
        <v>65</v>
      </c>
      <c r="D68" s="30">
        <v>169</v>
      </c>
      <c r="E68" s="30">
        <v>283</v>
      </c>
      <c r="F68" s="30">
        <v>623</v>
      </c>
      <c r="G68" s="30">
        <v>1009</v>
      </c>
      <c r="H68" s="30">
        <v>1285</v>
      </c>
      <c r="I68" s="30">
        <v>1606</v>
      </c>
      <c r="J68" s="30">
        <v>4823</v>
      </c>
      <c r="K68" s="30">
        <v>10079</v>
      </c>
      <c r="O68" s="5"/>
    </row>
    <row r="69" spans="1:34" x14ac:dyDescent="0.25">
      <c r="A69" s="33" t="s">
        <v>51</v>
      </c>
      <c r="B69" s="30">
        <v>75</v>
      </c>
      <c r="C69" s="30">
        <v>156</v>
      </c>
      <c r="D69" s="30">
        <v>405</v>
      </c>
      <c r="E69" s="30">
        <v>677</v>
      </c>
      <c r="F69" s="30">
        <v>1489</v>
      </c>
      <c r="G69" s="30">
        <v>2412</v>
      </c>
      <c r="H69" s="30">
        <v>3071</v>
      </c>
      <c r="I69" s="30">
        <v>3839</v>
      </c>
      <c r="J69" s="30">
        <v>11528</v>
      </c>
      <c r="K69" s="30">
        <v>24088</v>
      </c>
      <c r="O69" s="5"/>
    </row>
    <row r="70" spans="1:34" x14ac:dyDescent="0.25">
      <c r="A70" s="33" t="s">
        <v>52</v>
      </c>
      <c r="B70" s="30">
        <v>290</v>
      </c>
      <c r="C70" s="30">
        <v>606</v>
      </c>
      <c r="D70" s="30">
        <v>1569</v>
      </c>
      <c r="E70" s="30">
        <v>2618</v>
      </c>
      <c r="F70" s="30">
        <v>5763</v>
      </c>
      <c r="G70" s="30">
        <v>9335</v>
      </c>
      <c r="H70" s="30">
        <v>11885</v>
      </c>
      <c r="I70" s="30">
        <v>14860</v>
      </c>
      <c r="J70" s="30">
        <v>44617</v>
      </c>
      <c r="K70" s="30">
        <v>93229</v>
      </c>
      <c r="O70" s="5"/>
    </row>
    <row r="71" spans="1:34" x14ac:dyDescent="0.25">
      <c r="A71" s="33" t="s">
        <v>53</v>
      </c>
      <c r="B71" s="30">
        <v>0</v>
      </c>
      <c r="C71" s="30">
        <v>27</v>
      </c>
      <c r="D71" s="30">
        <v>512</v>
      </c>
      <c r="E71" s="30">
        <v>1047</v>
      </c>
      <c r="F71" s="30">
        <v>2606</v>
      </c>
      <c r="G71" s="30">
        <v>4475</v>
      </c>
      <c r="H71" s="30">
        <v>5789</v>
      </c>
      <c r="I71" s="30">
        <v>7313</v>
      </c>
      <c r="J71" s="30">
        <v>22058</v>
      </c>
      <c r="K71" s="30">
        <v>46145</v>
      </c>
      <c r="O71" s="5"/>
    </row>
    <row r="72" spans="1:34" x14ac:dyDescent="0.25">
      <c r="A72" s="33" t="s">
        <v>54</v>
      </c>
      <c r="B72" s="30">
        <v>2</v>
      </c>
      <c r="C72" s="30">
        <v>3</v>
      </c>
      <c r="D72" s="30">
        <v>7</v>
      </c>
      <c r="E72" s="30">
        <v>12</v>
      </c>
      <c r="F72" s="30">
        <v>26</v>
      </c>
      <c r="G72" s="30">
        <v>43</v>
      </c>
      <c r="H72" s="30">
        <v>55</v>
      </c>
      <c r="I72" s="30">
        <v>68</v>
      </c>
      <c r="J72" s="30">
        <v>205</v>
      </c>
      <c r="K72" s="30">
        <v>428</v>
      </c>
      <c r="O72" s="5"/>
    </row>
    <row r="73" spans="1:34" x14ac:dyDescent="0.25">
      <c r="A73" s="33" t="s">
        <v>55</v>
      </c>
      <c r="B73" s="30">
        <v>157</v>
      </c>
      <c r="C73" s="30">
        <v>327</v>
      </c>
      <c r="D73" s="30">
        <v>848</v>
      </c>
      <c r="E73" s="30">
        <v>1414</v>
      </c>
      <c r="F73" s="30">
        <v>3115</v>
      </c>
      <c r="G73" s="30">
        <v>5046</v>
      </c>
      <c r="H73" s="30">
        <v>6425</v>
      </c>
      <c r="I73" s="30">
        <v>8032</v>
      </c>
      <c r="J73" s="30">
        <v>24117</v>
      </c>
      <c r="K73" s="30">
        <v>50394</v>
      </c>
      <c r="O73" s="5"/>
    </row>
    <row r="74" spans="1:34" x14ac:dyDescent="0.25">
      <c r="A74" s="33" t="s">
        <v>56</v>
      </c>
      <c r="B74" s="30">
        <v>42</v>
      </c>
      <c r="C74" s="30">
        <v>42</v>
      </c>
      <c r="D74" s="30">
        <v>42</v>
      </c>
      <c r="E74" s="30">
        <v>163</v>
      </c>
      <c r="F74" s="30">
        <v>379</v>
      </c>
      <c r="G74" s="30">
        <v>617</v>
      </c>
      <c r="H74" s="30">
        <v>779</v>
      </c>
      <c r="I74" s="30">
        <v>970</v>
      </c>
      <c r="J74" s="30">
        <v>2871</v>
      </c>
      <c r="K74" s="30">
        <v>5976</v>
      </c>
      <c r="O74" s="5"/>
    </row>
    <row r="75" spans="1:34" x14ac:dyDescent="0.25">
      <c r="A75" s="33" t="s">
        <v>57</v>
      </c>
      <c r="B75" s="30">
        <v>0</v>
      </c>
      <c r="C75" s="30">
        <v>0</v>
      </c>
      <c r="D75" s="30">
        <v>0</v>
      </c>
      <c r="E75" s="30">
        <v>0</v>
      </c>
      <c r="F75" s="30">
        <v>112</v>
      </c>
      <c r="G75" s="30">
        <v>194</v>
      </c>
      <c r="H75" s="30">
        <v>253</v>
      </c>
      <c r="I75" s="30">
        <v>322</v>
      </c>
      <c r="J75" s="30">
        <v>1008</v>
      </c>
      <c r="K75" s="30">
        <v>2128</v>
      </c>
      <c r="O75" s="5"/>
    </row>
    <row r="76" spans="1:34" x14ac:dyDescent="0.25">
      <c r="A76" s="33" t="s">
        <v>58</v>
      </c>
      <c r="B76" s="30">
        <v>331</v>
      </c>
      <c r="C76" s="30">
        <v>690</v>
      </c>
      <c r="D76" s="30">
        <v>1789</v>
      </c>
      <c r="E76" s="30">
        <v>2986</v>
      </c>
      <c r="F76" s="30">
        <v>6572</v>
      </c>
      <c r="G76" s="30">
        <v>10645</v>
      </c>
      <c r="H76" s="30">
        <v>13557</v>
      </c>
      <c r="I76" s="30">
        <v>16947</v>
      </c>
      <c r="J76" s="30">
        <v>50886</v>
      </c>
      <c r="K76" s="30">
        <v>106330</v>
      </c>
      <c r="O76" s="5"/>
    </row>
    <row r="77" spans="1:34" x14ac:dyDescent="0.25">
      <c r="A77" s="33" t="s">
        <v>59</v>
      </c>
      <c r="B77" s="30">
        <v>0</v>
      </c>
      <c r="C77" s="30">
        <v>0</v>
      </c>
      <c r="D77" s="30">
        <v>8</v>
      </c>
      <c r="E77" s="30">
        <v>14</v>
      </c>
      <c r="F77" s="30">
        <v>31</v>
      </c>
      <c r="G77" s="30">
        <v>50</v>
      </c>
      <c r="H77" s="30">
        <v>64</v>
      </c>
      <c r="I77" s="30">
        <v>80</v>
      </c>
      <c r="J77" s="30">
        <v>241</v>
      </c>
      <c r="K77" s="30">
        <v>504</v>
      </c>
      <c r="O77" s="5"/>
    </row>
    <row r="78" spans="1:34" ht="18" x14ac:dyDescent="0.25">
      <c r="A78" s="33" t="s">
        <v>60</v>
      </c>
      <c r="B78" s="30">
        <v>800</v>
      </c>
      <c r="C78" s="30">
        <v>1668</v>
      </c>
      <c r="D78" s="30">
        <v>4320</v>
      </c>
      <c r="E78" s="30">
        <v>7209</v>
      </c>
      <c r="F78" s="30">
        <v>15865</v>
      </c>
      <c r="G78" s="30">
        <v>25699</v>
      </c>
      <c r="H78" s="30">
        <v>32729</v>
      </c>
      <c r="I78" s="30">
        <v>40922</v>
      </c>
      <c r="J78" s="30">
        <v>122868</v>
      </c>
      <c r="K78" s="30">
        <v>256696</v>
      </c>
      <c r="Q78" s="10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H78" s="16"/>
    </row>
    <row r="79" spans="1:34" ht="18" customHeight="1" x14ac:dyDescent="0.25">
      <c r="A79" s="33" t="s">
        <v>94</v>
      </c>
      <c r="B79" s="30">
        <v>8659</v>
      </c>
      <c r="C79" s="30">
        <f>18049/2</f>
        <v>9024.5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H79" s="17"/>
    </row>
    <row r="80" spans="1:34" x14ac:dyDescent="0.25">
      <c r="A80" s="33" t="s">
        <v>61</v>
      </c>
      <c r="B80" s="30">
        <v>1532</v>
      </c>
      <c r="C80" s="30">
        <v>3192</v>
      </c>
      <c r="D80" s="30">
        <v>8266</v>
      </c>
      <c r="E80" s="30">
        <v>13798</v>
      </c>
      <c r="F80" s="30">
        <v>30374</v>
      </c>
      <c r="G80" s="30">
        <v>49197</v>
      </c>
      <c r="H80" s="30">
        <v>62639</v>
      </c>
      <c r="I80" s="30">
        <v>78315</v>
      </c>
      <c r="J80" s="30">
        <v>235144</v>
      </c>
      <c r="K80" s="30">
        <v>491345</v>
      </c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H80" s="18"/>
    </row>
    <row r="81" spans="1:34" x14ac:dyDescent="0.25">
      <c r="A81" s="33" t="s">
        <v>62</v>
      </c>
      <c r="B81" s="30">
        <v>1769</v>
      </c>
      <c r="C81" s="30">
        <v>3689</v>
      </c>
      <c r="D81" s="30">
        <v>9553</v>
      </c>
      <c r="E81" s="30">
        <v>15944</v>
      </c>
      <c r="F81" s="30">
        <v>35099</v>
      </c>
      <c r="G81" s="30">
        <v>56849</v>
      </c>
      <c r="H81" s="30">
        <v>72382</v>
      </c>
      <c r="I81" s="30">
        <v>90496</v>
      </c>
      <c r="J81" s="30">
        <v>271723</v>
      </c>
      <c r="K81" s="30">
        <v>567776</v>
      </c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H81" s="18"/>
    </row>
    <row r="82" spans="1:34" x14ac:dyDescent="0.25">
      <c r="A82" s="33" t="s">
        <v>63</v>
      </c>
      <c r="B82" s="30">
        <v>0</v>
      </c>
      <c r="C82" s="30">
        <v>0</v>
      </c>
      <c r="D82" s="30">
        <v>0</v>
      </c>
      <c r="E82" s="30">
        <v>0</v>
      </c>
      <c r="F82" s="30">
        <v>311</v>
      </c>
      <c r="G82" s="30">
        <v>505</v>
      </c>
      <c r="H82" s="30">
        <v>643</v>
      </c>
      <c r="I82" s="30">
        <v>803</v>
      </c>
      <c r="J82" s="30">
        <v>2412</v>
      </c>
      <c r="K82" s="30">
        <v>5039</v>
      </c>
      <c r="AH82" s="19"/>
    </row>
    <row r="83" spans="1:34" x14ac:dyDescent="0.25">
      <c r="A83" s="40"/>
      <c r="B83" s="30"/>
      <c r="C83" s="30"/>
      <c r="D83" s="30"/>
      <c r="E83" s="30"/>
      <c r="F83" s="30"/>
      <c r="G83" s="30"/>
      <c r="H83" s="30"/>
      <c r="I83" s="30"/>
      <c r="J83" s="30"/>
      <c r="K83" s="30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H83" s="19"/>
    </row>
    <row r="84" spans="1:34" x14ac:dyDescent="0.25">
      <c r="A84" s="29" t="s">
        <v>64</v>
      </c>
      <c r="B84" s="50">
        <f>SUM(B53:B82,B45)</f>
        <v>142466</v>
      </c>
      <c r="C84" s="50">
        <f t="shared" ref="C84:K84" si="26">SUM(C53:C82,C45)</f>
        <v>223518.5</v>
      </c>
      <c r="D84" s="50">
        <f t="shared" si="26"/>
        <v>474258</v>
      </c>
      <c r="E84" s="50">
        <f t="shared" si="26"/>
        <v>757722</v>
      </c>
      <c r="F84" s="50">
        <f t="shared" si="26"/>
        <v>1108652</v>
      </c>
      <c r="G84" s="50">
        <f t="shared" si="26"/>
        <v>1344002</v>
      </c>
      <c r="H84" s="50">
        <f t="shared" si="26"/>
        <v>1628143</v>
      </c>
      <c r="I84" s="50">
        <f t="shared" si="26"/>
        <v>2145050</v>
      </c>
      <c r="J84" s="50">
        <f t="shared" si="26"/>
        <v>6484255.7999999998</v>
      </c>
      <c r="K84" s="50">
        <f t="shared" si="26"/>
        <v>11739989.16</v>
      </c>
      <c r="O84" s="32"/>
      <c r="Q84" s="55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H84" s="18"/>
    </row>
    <row r="85" spans="1:34" ht="18" thickBot="1" x14ac:dyDescent="0.3">
      <c r="A85" s="29" t="s">
        <v>95</v>
      </c>
      <c r="B85" s="53">
        <f t="shared" ref="B85:K85" si="27">SUM(B25-B84)</f>
        <v>349083.72533333342</v>
      </c>
      <c r="C85" s="53">
        <f t="shared" si="27"/>
        <v>826268.00261333352</v>
      </c>
      <c r="D85" s="53">
        <f t="shared" si="27"/>
        <v>2217492.8286656006</v>
      </c>
      <c r="E85" s="53">
        <f t="shared" si="27"/>
        <v>4433713.1805490945</v>
      </c>
      <c r="F85" s="53">
        <f t="shared" si="27"/>
        <v>8155724.1961248759</v>
      </c>
      <c r="G85" s="53">
        <f t="shared" si="27"/>
        <v>14647987.160592295</v>
      </c>
      <c r="H85" s="53">
        <f t="shared" si="27"/>
        <v>20845275.943967156</v>
      </c>
      <c r="I85" s="53">
        <f t="shared" si="27"/>
        <v>28497071.722796123</v>
      </c>
      <c r="J85" s="53">
        <f t="shared" si="27"/>
        <v>96019512.111931726</v>
      </c>
      <c r="K85" s="53">
        <f t="shared" si="27"/>
        <v>205057878.68313169</v>
      </c>
      <c r="O85" s="32"/>
      <c r="Q85" s="55"/>
      <c r="AH85" s="20"/>
    </row>
    <row r="86" spans="1:34" ht="15.75" thickTop="1" x14ac:dyDescent="0.25">
      <c r="A86" s="4" t="s">
        <v>65</v>
      </c>
      <c r="B86" s="42">
        <f t="shared" ref="B86:K86" si="28">(B85*0.1/100000)</f>
        <v>0.34908372533333343</v>
      </c>
      <c r="C86" s="42">
        <f t="shared" si="28"/>
        <v>0.82626800261333355</v>
      </c>
      <c r="D86" s="42">
        <f t="shared" si="28"/>
        <v>2.2174928286656006</v>
      </c>
      <c r="E86" s="42">
        <f t="shared" si="28"/>
        <v>4.4337131805490948</v>
      </c>
      <c r="F86" s="42">
        <f t="shared" si="28"/>
        <v>8.1557241961248774</v>
      </c>
      <c r="G86" s="42">
        <f t="shared" si="28"/>
        <v>14.647987160592296</v>
      </c>
      <c r="H86" s="42">
        <f t="shared" si="28"/>
        <v>20.845275943967156</v>
      </c>
      <c r="I86" s="42">
        <f t="shared" si="28"/>
        <v>28.497071722796125</v>
      </c>
      <c r="J86" s="42">
        <f t="shared" si="28"/>
        <v>96.019512111931718</v>
      </c>
      <c r="K86" s="42">
        <f t="shared" si="28"/>
        <v>205.05787868313172</v>
      </c>
      <c r="O86" s="32"/>
      <c r="Q86" s="55"/>
      <c r="AH86" s="21"/>
    </row>
    <row r="87" spans="1:34" x14ac:dyDescent="0.25">
      <c r="A87" s="4" t="s">
        <v>66</v>
      </c>
      <c r="B87" s="43">
        <f>B86</f>
        <v>0.34908372533333343</v>
      </c>
      <c r="C87" s="43">
        <f>SUM(B86:C86)</f>
        <v>1.175351727946667</v>
      </c>
      <c r="D87" s="43">
        <f>SUM(B86:D86)</f>
        <v>3.3928445566122676</v>
      </c>
      <c r="E87" s="43">
        <f>SUM(B86:E86)</f>
        <v>7.8265577371613624</v>
      </c>
      <c r="F87" s="43">
        <f>SUM(B86:F86)</f>
        <v>15.98228193328624</v>
      </c>
      <c r="G87" s="43">
        <f>SUM(B86:G86)</f>
        <v>30.630269093878535</v>
      </c>
      <c r="H87" s="43">
        <f>SUM(B86:H86)</f>
        <v>51.475545037845691</v>
      </c>
      <c r="I87" s="43">
        <f>SUM(B86:I86)</f>
        <v>79.972616760641813</v>
      </c>
      <c r="J87" s="43">
        <f>SUM(B86:J86)</f>
        <v>175.99212887257352</v>
      </c>
      <c r="K87" s="43">
        <f>SUM(B86:K86)</f>
        <v>381.05000755570524</v>
      </c>
      <c r="O87" s="32"/>
      <c r="Q87" s="55"/>
      <c r="U87" s="12"/>
      <c r="W87" s="14"/>
      <c r="X87" s="14"/>
      <c r="Y87" s="14"/>
      <c r="Z87" s="14"/>
      <c r="AA87" s="14"/>
      <c r="AB87" s="14"/>
      <c r="AC87" s="14"/>
      <c r="AD87" s="14"/>
      <c r="AE87" s="14"/>
      <c r="AH87" s="21"/>
    </row>
    <row r="88" spans="1:34" x14ac:dyDescent="0.25">
      <c r="O88" s="32"/>
      <c r="Q88" s="55"/>
      <c r="U88" s="12"/>
      <c r="AH88" s="22"/>
    </row>
    <row r="89" spans="1:34" ht="18.75" x14ac:dyDescent="0.25">
      <c r="A89" s="45" t="s">
        <v>353</v>
      </c>
      <c r="B89" s="3"/>
      <c r="C89" s="3"/>
      <c r="D89" s="3"/>
      <c r="E89" s="3"/>
      <c r="F89" s="3"/>
      <c r="G89" s="3"/>
      <c r="H89" s="3"/>
      <c r="I89" s="3"/>
      <c r="J89" s="3"/>
      <c r="K89" s="3"/>
      <c r="O89" s="32"/>
      <c r="Q89" s="55"/>
      <c r="U89" s="12"/>
    </row>
    <row r="90" spans="1:34" x14ac:dyDescent="0.25">
      <c r="A90" s="54">
        <v>1</v>
      </c>
      <c r="B90" t="s">
        <v>337</v>
      </c>
      <c r="D90" s="4"/>
      <c r="E90" s="4"/>
      <c r="F90" s="4"/>
      <c r="G90" s="4"/>
      <c r="H90" s="4"/>
      <c r="I90" s="4"/>
      <c r="J90" s="4"/>
      <c r="K90" s="4"/>
      <c r="O90" s="32"/>
      <c r="Q90" s="55"/>
      <c r="U90" s="12"/>
    </row>
    <row r="91" spans="1:34" x14ac:dyDescent="0.25">
      <c r="A91" s="54">
        <v>2</v>
      </c>
      <c r="B91" t="s">
        <v>338</v>
      </c>
      <c r="D91" s="4"/>
      <c r="E91" s="4"/>
      <c r="F91" s="4"/>
      <c r="G91" s="4"/>
      <c r="H91" s="4"/>
      <c r="I91" s="4"/>
      <c r="J91" s="4"/>
      <c r="K91" s="6"/>
      <c r="O91" s="32"/>
      <c r="Q91" s="55"/>
      <c r="U91" s="12"/>
    </row>
    <row r="92" spans="1:34" x14ac:dyDescent="0.25">
      <c r="A92" s="54">
        <v>3</v>
      </c>
      <c r="B92" t="s">
        <v>339</v>
      </c>
      <c r="D92" s="4"/>
      <c r="E92" s="4"/>
      <c r="F92" s="4"/>
      <c r="G92" s="4"/>
      <c r="H92" s="4"/>
      <c r="I92" s="4"/>
      <c r="J92" s="4"/>
      <c r="K92" s="4"/>
      <c r="O92" s="32"/>
      <c r="Q92" s="55"/>
      <c r="U92" s="12"/>
    </row>
    <row r="93" spans="1:34" x14ac:dyDescent="0.25">
      <c r="A93" s="54">
        <v>4</v>
      </c>
      <c r="B93" t="s">
        <v>340</v>
      </c>
      <c r="D93" s="3"/>
      <c r="E93" s="3"/>
      <c r="F93" s="3"/>
      <c r="G93" s="3"/>
      <c r="H93" s="3"/>
      <c r="I93" s="3"/>
      <c r="J93" s="3"/>
      <c r="K93" s="3"/>
      <c r="O93" s="32"/>
      <c r="Q93" s="55"/>
      <c r="U93" s="12"/>
    </row>
    <row r="94" spans="1:34" x14ac:dyDescent="0.25">
      <c r="A94" s="54">
        <v>5</v>
      </c>
      <c r="B94" t="s">
        <v>341</v>
      </c>
      <c r="D94" s="9"/>
      <c r="E94" s="9"/>
      <c r="F94" s="9"/>
      <c r="G94" s="9"/>
      <c r="H94" s="9"/>
      <c r="I94" s="9"/>
      <c r="J94" s="9"/>
      <c r="K94" s="9"/>
      <c r="U94" s="12"/>
    </row>
    <row r="95" spans="1:34" x14ac:dyDescent="0.25">
      <c r="A95" s="54">
        <v>6</v>
      </c>
      <c r="B95" t="s">
        <v>342</v>
      </c>
      <c r="D95" s="3"/>
      <c r="E95" s="3"/>
      <c r="F95" s="3"/>
      <c r="G95" s="3"/>
      <c r="H95" s="3"/>
      <c r="I95" s="3"/>
      <c r="J95" s="3"/>
      <c r="K95" s="3"/>
      <c r="U95" s="12"/>
    </row>
    <row r="96" spans="1:34" x14ac:dyDescent="0.25">
      <c r="A96" s="54">
        <v>7</v>
      </c>
      <c r="B96" t="s">
        <v>343</v>
      </c>
      <c r="D96" s="23"/>
      <c r="E96" s="23"/>
      <c r="F96" s="23"/>
      <c r="G96" s="23"/>
      <c r="H96" s="23"/>
      <c r="I96" s="23"/>
      <c r="J96" s="23"/>
      <c r="K96" s="23"/>
    </row>
    <row r="97" spans="1:11" x14ac:dyDescent="0.25">
      <c r="A97" s="54">
        <v>8</v>
      </c>
      <c r="B97" t="s">
        <v>344</v>
      </c>
      <c r="D97" s="3"/>
      <c r="E97" s="3"/>
      <c r="F97" s="3"/>
      <c r="G97" s="3"/>
      <c r="H97" s="3"/>
      <c r="I97" s="3"/>
      <c r="J97" s="3"/>
      <c r="K97" s="3"/>
    </row>
    <row r="98" spans="1:11" x14ac:dyDescent="0.25">
      <c r="A98" s="54">
        <v>9</v>
      </c>
      <c r="B98" t="s">
        <v>345</v>
      </c>
      <c r="D98" s="3"/>
      <c r="E98" s="3"/>
      <c r="F98" s="3"/>
      <c r="G98" s="23"/>
      <c r="H98" s="23"/>
      <c r="I98" s="23"/>
      <c r="J98" s="23"/>
      <c r="K98" s="23"/>
    </row>
    <row r="99" spans="1:11" ht="48.75" customHeight="1" x14ac:dyDescent="0.25">
      <c r="A99" s="54">
        <v>10</v>
      </c>
      <c r="B99" s="60" t="s">
        <v>346</v>
      </c>
      <c r="C99" s="60"/>
      <c r="D99" s="60"/>
      <c r="E99" s="60"/>
      <c r="F99" s="60"/>
      <c r="G99" s="60"/>
      <c r="H99" s="60"/>
      <c r="I99" s="60"/>
      <c r="J99" s="60"/>
      <c r="K99" s="60"/>
    </row>
    <row r="100" spans="1:11" ht="60" customHeight="1" x14ac:dyDescent="0.25">
      <c r="A100" s="54">
        <v>11</v>
      </c>
      <c r="B100" s="61" t="s">
        <v>347</v>
      </c>
      <c r="C100" s="61"/>
      <c r="D100" s="61"/>
      <c r="E100" s="61"/>
      <c r="F100" s="61"/>
      <c r="G100" s="61"/>
      <c r="H100" s="61"/>
      <c r="I100" s="61"/>
      <c r="J100" s="61"/>
      <c r="K100" s="61"/>
    </row>
    <row r="101" spans="1:11" x14ac:dyDescent="0.25">
      <c r="A101" s="54">
        <v>12</v>
      </c>
      <c r="B101" t="s">
        <v>348</v>
      </c>
      <c r="D101" s="4"/>
      <c r="E101" s="4"/>
      <c r="F101" s="4"/>
      <c r="G101" s="4"/>
      <c r="H101" s="4"/>
      <c r="I101" s="4"/>
      <c r="J101" s="4"/>
      <c r="K101" s="4"/>
    </row>
    <row r="102" spans="1:11" x14ac:dyDescent="0.25">
      <c r="A102" s="54">
        <v>13</v>
      </c>
      <c r="B102" t="s">
        <v>349</v>
      </c>
    </row>
    <row r="103" spans="1:11" x14ac:dyDescent="0.25">
      <c r="A103" s="54">
        <v>14</v>
      </c>
      <c r="B103" t="s">
        <v>350</v>
      </c>
    </row>
    <row r="104" spans="1:11" ht="31.5" customHeight="1" x14ac:dyDescent="0.25">
      <c r="A104" s="54">
        <v>15</v>
      </c>
      <c r="B104" s="60" t="s">
        <v>355</v>
      </c>
      <c r="C104" s="60"/>
      <c r="D104" s="60"/>
      <c r="E104" s="60"/>
      <c r="F104" s="60"/>
      <c r="G104" s="60"/>
      <c r="H104" s="60"/>
      <c r="I104" s="60"/>
      <c r="J104" s="60"/>
      <c r="K104" s="60"/>
    </row>
    <row r="105" spans="1:11" x14ac:dyDescent="0.25">
      <c r="A105" s="54">
        <v>16</v>
      </c>
      <c r="B105" t="s">
        <v>351</v>
      </c>
    </row>
    <row r="106" spans="1:11" x14ac:dyDescent="0.25">
      <c r="A106" s="54">
        <v>17</v>
      </c>
      <c r="B106" t="s">
        <v>352</v>
      </c>
    </row>
    <row r="108" spans="1:11" ht="18.75" x14ac:dyDescent="0.3">
      <c r="A108" s="62" t="s">
        <v>354</v>
      </c>
      <c r="B108" s="62"/>
    </row>
    <row r="109" spans="1:11" x14ac:dyDescent="0.25">
      <c r="A109" s="1" t="s">
        <v>2</v>
      </c>
      <c r="B109" t="s">
        <v>67</v>
      </c>
    </row>
    <row r="110" spans="1:11" x14ac:dyDescent="0.25">
      <c r="A110" s="46">
        <v>67000000</v>
      </c>
      <c r="C110" t="s">
        <v>68</v>
      </c>
      <c r="D110" s="11">
        <f>14000000+13000000</f>
        <v>27000000</v>
      </c>
    </row>
    <row r="111" spans="1:11" x14ac:dyDescent="0.25">
      <c r="A111" s="47"/>
      <c r="C111" t="s">
        <v>69</v>
      </c>
      <c r="D111" s="13">
        <v>0.3</v>
      </c>
    </row>
    <row r="112" spans="1:11" x14ac:dyDescent="0.25">
      <c r="A112" s="47"/>
      <c r="C112" t="s">
        <v>70</v>
      </c>
      <c r="D112" s="13">
        <v>5.0000000000000001E-3</v>
      </c>
    </row>
    <row r="113" spans="1:4" x14ac:dyDescent="0.25">
      <c r="A113" s="47"/>
      <c r="C113" s="15" t="s">
        <v>356</v>
      </c>
      <c r="D113" s="49">
        <f>D110*D111*D112</f>
        <v>40500</v>
      </c>
    </row>
    <row r="114" spans="1:4" x14ac:dyDescent="0.25">
      <c r="A114" s="47"/>
      <c r="D114" s="14"/>
    </row>
    <row r="115" spans="1:4" x14ac:dyDescent="0.25">
      <c r="A115" s="48" t="s">
        <v>71</v>
      </c>
      <c r="C115" t="s">
        <v>68</v>
      </c>
      <c r="D115" s="14">
        <v>14000000</v>
      </c>
    </row>
    <row r="116" spans="1:4" x14ac:dyDescent="0.25">
      <c r="A116" s="46">
        <v>40000000</v>
      </c>
      <c r="C116" t="s">
        <v>69</v>
      </c>
      <c r="D116" s="13">
        <v>0.3</v>
      </c>
    </row>
    <row r="117" spans="1:4" x14ac:dyDescent="0.25">
      <c r="A117" s="47"/>
      <c r="C117" t="s">
        <v>70</v>
      </c>
      <c r="D117" s="13">
        <v>5.0000000000000001E-3</v>
      </c>
    </row>
    <row r="118" spans="1:4" x14ac:dyDescent="0.25">
      <c r="A118" s="47"/>
      <c r="C118" s="15" t="s">
        <v>356</v>
      </c>
      <c r="D118" s="49">
        <f>D115*D116*D117</f>
        <v>21000</v>
      </c>
    </row>
    <row r="119" spans="1:4" x14ac:dyDescent="0.25">
      <c r="A119" s="47"/>
      <c r="D119" s="14"/>
    </row>
    <row r="120" spans="1:4" x14ac:dyDescent="0.25">
      <c r="A120" s="48" t="s">
        <v>72</v>
      </c>
      <c r="C120" t="s">
        <v>68</v>
      </c>
      <c r="D120" s="14">
        <v>9000000</v>
      </c>
    </row>
    <row r="121" spans="1:4" x14ac:dyDescent="0.25">
      <c r="A121" s="46">
        <v>26000000</v>
      </c>
      <c r="C121" t="s">
        <v>69</v>
      </c>
      <c r="D121" s="13">
        <v>0.3</v>
      </c>
    </row>
    <row r="122" spans="1:4" x14ac:dyDescent="0.25">
      <c r="A122" s="47"/>
      <c r="C122" t="s">
        <v>70</v>
      </c>
      <c r="D122" s="13">
        <v>5.0000000000000001E-3</v>
      </c>
    </row>
    <row r="123" spans="1:4" x14ac:dyDescent="0.25">
      <c r="A123" s="47"/>
      <c r="C123" s="15" t="s">
        <v>356</v>
      </c>
      <c r="D123" s="49">
        <f>D120*D121*D122</f>
        <v>13500</v>
      </c>
    </row>
    <row r="124" spans="1:4" x14ac:dyDescent="0.25">
      <c r="A124" s="47"/>
      <c r="D124" s="14"/>
    </row>
    <row r="125" spans="1:4" x14ac:dyDescent="0.25">
      <c r="A125" s="48" t="s">
        <v>73</v>
      </c>
      <c r="C125" t="s">
        <v>68</v>
      </c>
      <c r="D125" s="14">
        <v>156000000</v>
      </c>
    </row>
    <row r="126" spans="1:4" x14ac:dyDescent="0.25">
      <c r="A126" s="46">
        <v>448000000</v>
      </c>
      <c r="C126" t="s">
        <v>69</v>
      </c>
      <c r="D126" s="13">
        <v>0.3</v>
      </c>
    </row>
    <row r="127" spans="1:4" x14ac:dyDescent="0.25">
      <c r="A127" s="47"/>
      <c r="C127" t="s">
        <v>70</v>
      </c>
      <c r="D127" s="13">
        <v>2E-3</v>
      </c>
    </row>
    <row r="128" spans="1:4" x14ac:dyDescent="0.25">
      <c r="A128" s="47"/>
      <c r="C128" s="15" t="s">
        <v>356</v>
      </c>
      <c r="D128" s="49">
        <f>D125*D126*D127</f>
        <v>93600</v>
      </c>
    </row>
    <row r="129" spans="1:4" x14ac:dyDescent="0.25">
      <c r="A129" s="47"/>
      <c r="D129" s="14"/>
    </row>
    <row r="130" spans="1:4" x14ac:dyDescent="0.25">
      <c r="A130" s="48" t="s">
        <v>74</v>
      </c>
      <c r="C130" t="s">
        <v>68</v>
      </c>
      <c r="D130" s="14">
        <v>1800000</v>
      </c>
    </row>
    <row r="131" spans="1:4" x14ac:dyDescent="0.25">
      <c r="A131" s="46">
        <v>5100000</v>
      </c>
      <c r="C131" t="s">
        <v>69</v>
      </c>
      <c r="D131" s="13">
        <v>0.3</v>
      </c>
    </row>
    <row r="132" spans="1:4" x14ac:dyDescent="0.25">
      <c r="A132" s="47"/>
      <c r="C132" t="s">
        <v>70</v>
      </c>
      <c r="D132" s="13">
        <v>5.0000000000000001E-3</v>
      </c>
    </row>
    <row r="133" spans="1:4" x14ac:dyDescent="0.25">
      <c r="A133" s="47"/>
      <c r="C133" s="15" t="s">
        <v>356</v>
      </c>
      <c r="D133" s="49">
        <f>D130*D131*D132</f>
        <v>2700</v>
      </c>
    </row>
    <row r="134" spans="1:4" x14ac:dyDescent="0.25">
      <c r="A134" s="47"/>
      <c r="D134" s="14"/>
    </row>
    <row r="135" spans="1:4" x14ac:dyDescent="0.25">
      <c r="A135" s="48" t="s">
        <v>75</v>
      </c>
      <c r="C135" t="s">
        <v>68</v>
      </c>
      <c r="D135" s="14">
        <v>504000000</v>
      </c>
    </row>
    <row r="136" spans="1:4" x14ac:dyDescent="0.25">
      <c r="A136" s="46">
        <v>5100000</v>
      </c>
      <c r="C136" t="s">
        <v>69</v>
      </c>
      <c r="D136" s="13">
        <v>0.3</v>
      </c>
    </row>
    <row r="137" spans="1:4" x14ac:dyDescent="0.25">
      <c r="A137" s="47"/>
      <c r="C137" t="s">
        <v>70</v>
      </c>
      <c r="D137" s="13">
        <v>2E-3</v>
      </c>
    </row>
    <row r="138" spans="1:4" x14ac:dyDescent="0.25">
      <c r="A138" s="47"/>
      <c r="C138" s="15" t="s">
        <v>356</v>
      </c>
      <c r="D138" s="49">
        <f>D135*D136*D137</f>
        <v>302400</v>
      </c>
    </row>
    <row r="139" spans="1:4" x14ac:dyDescent="0.25">
      <c r="A139" s="47"/>
      <c r="D139" s="14"/>
    </row>
    <row r="140" spans="1:4" x14ac:dyDescent="0.25">
      <c r="A140" s="48" t="s">
        <v>76</v>
      </c>
      <c r="C140" t="s">
        <v>68</v>
      </c>
      <c r="D140" s="11">
        <v>2800000000</v>
      </c>
    </row>
    <row r="141" spans="1:4" x14ac:dyDescent="0.25">
      <c r="A141" s="46">
        <v>5100000</v>
      </c>
      <c r="C141" t="s">
        <v>69</v>
      </c>
      <c r="D141" s="13">
        <v>0.3</v>
      </c>
    </row>
    <row r="142" spans="1:4" x14ac:dyDescent="0.25">
      <c r="A142" s="24"/>
      <c r="C142" t="s">
        <v>70</v>
      </c>
      <c r="D142" s="13">
        <v>1E-3</v>
      </c>
    </row>
    <row r="143" spans="1:4" x14ac:dyDescent="0.25">
      <c r="A143" s="24"/>
      <c r="C143" s="15" t="s">
        <v>356</v>
      </c>
      <c r="D143" s="49">
        <f>D140*D141*D142</f>
        <v>840000</v>
      </c>
    </row>
    <row r="146" spans="1:2" ht="18.75" x14ac:dyDescent="0.3">
      <c r="A146" s="62" t="s">
        <v>360</v>
      </c>
      <c r="B146" s="62"/>
    </row>
    <row r="147" spans="1:2" ht="18" x14ac:dyDescent="0.25">
      <c r="A147" s="16" t="s">
        <v>96</v>
      </c>
    </row>
    <row r="149" spans="1:2" x14ac:dyDescent="0.25">
      <c r="A149" s="15" t="s">
        <v>97</v>
      </c>
    </row>
    <row r="150" spans="1:2" x14ac:dyDescent="0.25">
      <c r="A150" s="17"/>
    </row>
    <row r="151" spans="1:2" x14ac:dyDescent="0.25">
      <c r="A151" s="17" t="s">
        <v>98</v>
      </c>
    </row>
    <row r="152" spans="1:2" x14ac:dyDescent="0.25">
      <c r="A152" s="17" t="s">
        <v>99</v>
      </c>
    </row>
    <row r="153" spans="1:2" x14ac:dyDescent="0.25">
      <c r="A153" s="17" t="s">
        <v>100</v>
      </c>
    </row>
    <row r="154" spans="1:2" x14ac:dyDescent="0.25">
      <c r="A154" s="17" t="s">
        <v>101</v>
      </c>
    </row>
    <row r="155" spans="1:2" x14ac:dyDescent="0.25">
      <c r="A155" s="17" t="s">
        <v>102</v>
      </c>
    </row>
    <row r="156" spans="1:2" x14ac:dyDescent="0.25">
      <c r="A156" s="17" t="s">
        <v>103</v>
      </c>
    </row>
    <row r="158" spans="1:2" x14ac:dyDescent="0.25">
      <c r="A158" s="15" t="s">
        <v>104</v>
      </c>
    </row>
    <row r="159" spans="1:2" x14ac:dyDescent="0.25">
      <c r="A159" s="17"/>
    </row>
    <row r="160" spans="1:2" x14ac:dyDescent="0.25">
      <c r="A160" s="18" t="s">
        <v>105</v>
      </c>
    </row>
    <row r="162" spans="1:1" x14ac:dyDescent="0.25">
      <c r="A162" s="15" t="s">
        <v>106</v>
      </c>
    </row>
    <row r="163" spans="1:1" x14ac:dyDescent="0.25">
      <c r="A163" s="17"/>
    </row>
    <row r="164" spans="1:1" x14ac:dyDescent="0.25">
      <c r="A164" s="18" t="s">
        <v>107</v>
      </c>
    </row>
    <row r="166" spans="1:1" x14ac:dyDescent="0.25">
      <c r="A166" s="15" t="s">
        <v>108</v>
      </c>
    </row>
    <row r="167" spans="1:1" x14ac:dyDescent="0.25">
      <c r="A167" s="17"/>
    </row>
    <row r="168" spans="1:1" x14ac:dyDescent="0.25">
      <c r="A168" s="18" t="s">
        <v>109</v>
      </c>
    </row>
    <row r="172" spans="1:1" ht="18" x14ac:dyDescent="0.25">
      <c r="A172" s="16" t="s">
        <v>110</v>
      </c>
    </row>
    <row r="174" spans="1:1" x14ac:dyDescent="0.25">
      <c r="A174" s="15" t="s">
        <v>97</v>
      </c>
    </row>
    <row r="175" spans="1:1" x14ac:dyDescent="0.25">
      <c r="A175" s="17"/>
    </row>
    <row r="176" spans="1:1" x14ac:dyDescent="0.25">
      <c r="A176" s="17" t="s">
        <v>98</v>
      </c>
    </row>
    <row r="177" spans="1:1" x14ac:dyDescent="0.25">
      <c r="A177" s="17" t="s">
        <v>111</v>
      </c>
    </row>
    <row r="178" spans="1:1" x14ac:dyDescent="0.25">
      <c r="A178" s="17" t="s">
        <v>112</v>
      </c>
    </row>
    <row r="179" spans="1:1" x14ac:dyDescent="0.25">
      <c r="A179" s="17" t="s">
        <v>113</v>
      </c>
    </row>
    <row r="180" spans="1:1" x14ac:dyDescent="0.25">
      <c r="A180" s="17" t="s">
        <v>114</v>
      </c>
    </row>
    <row r="181" spans="1:1" x14ac:dyDescent="0.25">
      <c r="A181" s="17" t="s">
        <v>115</v>
      </c>
    </row>
    <row r="182" spans="1:1" x14ac:dyDescent="0.25">
      <c r="A182" s="17" t="s">
        <v>116</v>
      </c>
    </row>
    <row r="183" spans="1:1" x14ac:dyDescent="0.25">
      <c r="A183" s="17" t="s">
        <v>103</v>
      </c>
    </row>
    <row r="185" spans="1:1" x14ac:dyDescent="0.25">
      <c r="A185" s="15" t="s">
        <v>117</v>
      </c>
    </row>
    <row r="186" spans="1:1" x14ac:dyDescent="0.25">
      <c r="A186" s="17"/>
    </row>
    <row r="187" spans="1:1" x14ac:dyDescent="0.25">
      <c r="A187" s="18" t="s">
        <v>118</v>
      </c>
    </row>
    <row r="188" spans="1:1" x14ac:dyDescent="0.25">
      <c r="A188" s="18" t="s">
        <v>119</v>
      </c>
    </row>
    <row r="192" spans="1:1" ht="18" x14ac:dyDescent="0.25">
      <c r="A192" s="16" t="s">
        <v>120</v>
      </c>
    </row>
    <row r="194" spans="1:1" x14ac:dyDescent="0.25">
      <c r="A194" s="15" t="s">
        <v>97</v>
      </c>
    </row>
    <row r="195" spans="1:1" x14ac:dyDescent="0.25">
      <c r="A195" s="17"/>
    </row>
    <row r="196" spans="1:1" x14ac:dyDescent="0.25">
      <c r="A196" s="17" t="s">
        <v>98</v>
      </c>
    </row>
    <row r="197" spans="1:1" x14ac:dyDescent="0.25">
      <c r="A197" s="17" t="s">
        <v>121</v>
      </c>
    </row>
    <row r="198" spans="1:1" x14ac:dyDescent="0.25">
      <c r="A198" s="17" t="s">
        <v>122</v>
      </c>
    </row>
    <row r="199" spans="1:1" x14ac:dyDescent="0.25">
      <c r="A199" s="17" t="s">
        <v>123</v>
      </c>
    </row>
    <row r="200" spans="1:1" x14ac:dyDescent="0.25">
      <c r="A200" s="17" t="s">
        <v>124</v>
      </c>
    </row>
    <row r="201" spans="1:1" x14ac:dyDescent="0.25">
      <c r="A201" s="17" t="s">
        <v>103</v>
      </c>
    </row>
    <row r="203" spans="1:1" x14ac:dyDescent="0.25">
      <c r="A203" s="15" t="s">
        <v>125</v>
      </c>
    </row>
    <row r="204" spans="1:1" x14ac:dyDescent="0.25">
      <c r="A204" s="17"/>
    </row>
    <row r="205" spans="1:1" x14ac:dyDescent="0.25">
      <c r="A205" s="18" t="s">
        <v>126</v>
      </c>
    </row>
    <row r="207" spans="1:1" x14ac:dyDescent="0.25">
      <c r="A207" s="15" t="s">
        <v>127</v>
      </c>
    </row>
    <row r="208" spans="1:1" x14ac:dyDescent="0.25">
      <c r="A208" s="17"/>
    </row>
    <row r="209" spans="1:1" x14ac:dyDescent="0.25">
      <c r="A209" s="18" t="s">
        <v>128</v>
      </c>
    </row>
    <row r="210" spans="1:1" x14ac:dyDescent="0.25">
      <c r="A210" s="18" t="s">
        <v>129</v>
      </c>
    </row>
    <row r="214" spans="1:1" ht="18" x14ac:dyDescent="0.25">
      <c r="A214" s="16" t="s">
        <v>130</v>
      </c>
    </row>
    <row r="216" spans="1:1" x14ac:dyDescent="0.25">
      <c r="A216" s="15" t="s">
        <v>97</v>
      </c>
    </row>
    <row r="217" spans="1:1" x14ac:dyDescent="0.25">
      <c r="A217" s="17"/>
    </row>
    <row r="218" spans="1:1" x14ac:dyDescent="0.25">
      <c r="A218" s="17" t="s">
        <v>98</v>
      </c>
    </row>
    <row r="219" spans="1:1" x14ac:dyDescent="0.25">
      <c r="A219" s="17" t="s">
        <v>131</v>
      </c>
    </row>
    <row r="220" spans="1:1" x14ac:dyDescent="0.25">
      <c r="A220" s="17" t="s">
        <v>132</v>
      </c>
    </row>
    <row r="221" spans="1:1" x14ac:dyDescent="0.25">
      <c r="A221" s="17" t="s">
        <v>133</v>
      </c>
    </row>
    <row r="222" spans="1:1" x14ac:dyDescent="0.25">
      <c r="A222" s="17" t="s">
        <v>134</v>
      </c>
    </row>
    <row r="223" spans="1:1" x14ac:dyDescent="0.25">
      <c r="A223" s="17" t="s">
        <v>135</v>
      </c>
    </row>
    <row r="224" spans="1:1" x14ac:dyDescent="0.25">
      <c r="A224" s="17" t="s">
        <v>136</v>
      </c>
    </row>
    <row r="225" spans="1:1" x14ac:dyDescent="0.25">
      <c r="A225" s="17" t="s">
        <v>103</v>
      </c>
    </row>
    <row r="227" spans="1:1" x14ac:dyDescent="0.25">
      <c r="A227" s="15" t="s">
        <v>137</v>
      </c>
    </row>
    <row r="228" spans="1:1" x14ac:dyDescent="0.25">
      <c r="A228" s="17"/>
    </row>
    <row r="229" spans="1:1" x14ac:dyDescent="0.25">
      <c r="A229" s="18" t="s">
        <v>138</v>
      </c>
    </row>
    <row r="230" spans="1:1" x14ac:dyDescent="0.25">
      <c r="A230" s="18" t="s">
        <v>139</v>
      </c>
    </row>
    <row r="231" spans="1:1" x14ac:dyDescent="0.25">
      <c r="A231" s="18" t="s">
        <v>140</v>
      </c>
    </row>
    <row r="235" spans="1:1" ht="18" x14ac:dyDescent="0.25">
      <c r="A235" s="16" t="s">
        <v>141</v>
      </c>
    </row>
    <row r="237" spans="1:1" x14ac:dyDescent="0.25">
      <c r="A237" s="15" t="s">
        <v>97</v>
      </c>
    </row>
    <row r="238" spans="1:1" x14ac:dyDescent="0.25">
      <c r="A238" s="17"/>
    </row>
    <row r="239" spans="1:1" x14ac:dyDescent="0.25">
      <c r="A239" s="17" t="s">
        <v>98</v>
      </c>
    </row>
    <row r="240" spans="1:1" x14ac:dyDescent="0.25">
      <c r="A240" s="17" t="s">
        <v>142</v>
      </c>
    </row>
    <row r="241" spans="1:1" x14ac:dyDescent="0.25">
      <c r="A241" s="17" t="s">
        <v>143</v>
      </c>
    </row>
    <row r="242" spans="1:1" x14ac:dyDescent="0.25">
      <c r="A242" s="17" t="s">
        <v>103</v>
      </c>
    </row>
    <row r="244" spans="1:1" x14ac:dyDescent="0.25">
      <c r="A244" s="15" t="s">
        <v>144</v>
      </c>
    </row>
    <row r="245" spans="1:1" x14ac:dyDescent="0.25">
      <c r="A245" s="17"/>
    </row>
    <row r="246" spans="1:1" x14ac:dyDescent="0.25">
      <c r="A246" s="18" t="s">
        <v>145</v>
      </c>
    </row>
    <row r="247" spans="1:1" x14ac:dyDescent="0.25">
      <c r="A247" s="18" t="s">
        <v>146</v>
      </c>
    </row>
    <row r="251" spans="1:1" ht="18" x14ac:dyDescent="0.25">
      <c r="A251" s="16" t="s">
        <v>147</v>
      </c>
    </row>
    <row r="253" spans="1:1" x14ac:dyDescent="0.25">
      <c r="A253" s="15" t="s">
        <v>97</v>
      </c>
    </row>
    <row r="254" spans="1:1" x14ac:dyDescent="0.25">
      <c r="A254" s="17"/>
    </row>
    <row r="255" spans="1:1" x14ac:dyDescent="0.25">
      <c r="A255" s="17" t="s">
        <v>98</v>
      </c>
    </row>
    <row r="256" spans="1:1" x14ac:dyDescent="0.25">
      <c r="A256" s="17" t="s">
        <v>148</v>
      </c>
    </row>
    <row r="257" spans="1:1" x14ac:dyDescent="0.25">
      <c r="A257" s="17" t="s">
        <v>149</v>
      </c>
    </row>
    <row r="258" spans="1:1" x14ac:dyDescent="0.25">
      <c r="A258" s="17" t="s">
        <v>150</v>
      </c>
    </row>
    <row r="259" spans="1:1" x14ac:dyDescent="0.25">
      <c r="A259" s="17" t="s">
        <v>151</v>
      </c>
    </row>
    <row r="260" spans="1:1" x14ac:dyDescent="0.25">
      <c r="A260" s="17" t="s">
        <v>152</v>
      </c>
    </row>
    <row r="261" spans="1:1" x14ac:dyDescent="0.25">
      <c r="A261" s="17" t="s">
        <v>153</v>
      </c>
    </row>
    <row r="262" spans="1:1" x14ac:dyDescent="0.25">
      <c r="A262" s="17" t="s">
        <v>103</v>
      </c>
    </row>
    <row r="264" spans="1:1" x14ac:dyDescent="0.25">
      <c r="A264" s="15" t="s">
        <v>154</v>
      </c>
    </row>
    <row r="265" spans="1:1" x14ac:dyDescent="0.25">
      <c r="A265" s="17"/>
    </row>
    <row r="266" spans="1:1" x14ac:dyDescent="0.25">
      <c r="A266" s="18" t="s">
        <v>155</v>
      </c>
    </row>
    <row r="267" spans="1:1" x14ac:dyDescent="0.25">
      <c r="A267" s="18" t="s">
        <v>156</v>
      </c>
    </row>
    <row r="271" spans="1:1" ht="18" x14ac:dyDescent="0.25">
      <c r="A271" s="16" t="s">
        <v>157</v>
      </c>
    </row>
    <row r="273" spans="1:1" x14ac:dyDescent="0.25">
      <c r="A273" s="15" t="s">
        <v>97</v>
      </c>
    </row>
    <row r="274" spans="1:1" x14ac:dyDescent="0.25">
      <c r="A274" s="17"/>
    </row>
    <row r="275" spans="1:1" x14ac:dyDescent="0.25">
      <c r="A275" s="17" t="s">
        <v>98</v>
      </c>
    </row>
    <row r="276" spans="1:1" x14ac:dyDescent="0.25">
      <c r="A276" s="17" t="s">
        <v>158</v>
      </c>
    </row>
    <row r="277" spans="1:1" x14ac:dyDescent="0.25">
      <c r="A277" s="17" t="s">
        <v>159</v>
      </c>
    </row>
    <row r="278" spans="1:1" x14ac:dyDescent="0.25">
      <c r="A278" s="17" t="s">
        <v>160</v>
      </c>
    </row>
    <row r="279" spans="1:1" x14ac:dyDescent="0.25">
      <c r="A279" s="17" t="s">
        <v>161</v>
      </c>
    </row>
    <row r="280" spans="1:1" x14ac:dyDescent="0.25">
      <c r="A280" s="17" t="s">
        <v>162</v>
      </c>
    </row>
    <row r="281" spans="1:1" x14ac:dyDescent="0.25">
      <c r="A281" s="17" t="s">
        <v>103</v>
      </c>
    </row>
    <row r="283" spans="1:1" x14ac:dyDescent="0.25">
      <c r="A283" s="15" t="s">
        <v>163</v>
      </c>
    </row>
    <row r="284" spans="1:1" x14ac:dyDescent="0.25">
      <c r="A284" s="17"/>
    </row>
    <row r="285" spans="1:1" x14ac:dyDescent="0.25">
      <c r="A285" s="18" t="s">
        <v>164</v>
      </c>
    </row>
    <row r="286" spans="1:1" x14ac:dyDescent="0.25">
      <c r="A286" s="18" t="s">
        <v>165</v>
      </c>
    </row>
    <row r="290" spans="1:1" ht="18" x14ac:dyDescent="0.25">
      <c r="A290" s="16" t="s">
        <v>166</v>
      </c>
    </row>
    <row r="292" spans="1:1" x14ac:dyDescent="0.25">
      <c r="A292" s="15" t="s">
        <v>97</v>
      </c>
    </row>
    <row r="293" spans="1:1" x14ac:dyDescent="0.25">
      <c r="A293" s="17"/>
    </row>
    <row r="294" spans="1:1" x14ac:dyDescent="0.25">
      <c r="A294" s="17" t="s">
        <v>98</v>
      </c>
    </row>
    <row r="295" spans="1:1" x14ac:dyDescent="0.25">
      <c r="A295" s="17" t="s">
        <v>167</v>
      </c>
    </row>
    <row r="296" spans="1:1" x14ac:dyDescent="0.25">
      <c r="A296" s="17" t="s">
        <v>168</v>
      </c>
    </row>
    <row r="297" spans="1:1" x14ac:dyDescent="0.25">
      <c r="A297" s="17" t="s">
        <v>103</v>
      </c>
    </row>
    <row r="299" spans="1:1" x14ac:dyDescent="0.25">
      <c r="A299" s="15" t="s">
        <v>169</v>
      </c>
    </row>
    <row r="300" spans="1:1" x14ac:dyDescent="0.25">
      <c r="A300" s="17"/>
    </row>
    <row r="301" spans="1:1" x14ac:dyDescent="0.25">
      <c r="A301" s="18" t="s">
        <v>170</v>
      </c>
    </row>
    <row r="302" spans="1:1" x14ac:dyDescent="0.25">
      <c r="A302" s="18" t="s">
        <v>171</v>
      </c>
    </row>
    <row r="306" spans="1:1" ht="18" x14ac:dyDescent="0.25">
      <c r="A306" s="16" t="s">
        <v>172</v>
      </c>
    </row>
    <row r="308" spans="1:1" x14ac:dyDescent="0.25">
      <c r="A308" s="15" t="s">
        <v>97</v>
      </c>
    </row>
    <row r="309" spans="1:1" x14ac:dyDescent="0.25">
      <c r="A309" s="17"/>
    </row>
    <row r="310" spans="1:1" x14ac:dyDescent="0.25">
      <c r="A310" s="17" t="s">
        <v>98</v>
      </c>
    </row>
    <row r="311" spans="1:1" x14ac:dyDescent="0.25">
      <c r="A311" s="17" t="s">
        <v>173</v>
      </c>
    </row>
    <row r="312" spans="1:1" x14ac:dyDescent="0.25">
      <c r="A312" s="17" t="s">
        <v>174</v>
      </c>
    </row>
    <row r="313" spans="1:1" x14ac:dyDescent="0.25">
      <c r="A313" s="17" t="s">
        <v>103</v>
      </c>
    </row>
    <row r="315" spans="1:1" x14ac:dyDescent="0.25">
      <c r="A315" s="15" t="s">
        <v>175</v>
      </c>
    </row>
    <row r="316" spans="1:1" x14ac:dyDescent="0.25">
      <c r="A316" s="17"/>
    </row>
    <row r="317" spans="1:1" x14ac:dyDescent="0.25">
      <c r="A317" s="18" t="s">
        <v>176</v>
      </c>
    </row>
    <row r="318" spans="1:1" x14ac:dyDescent="0.25">
      <c r="A318" s="18" t="s">
        <v>177</v>
      </c>
    </row>
    <row r="322" spans="1:1" ht="18" x14ac:dyDescent="0.25">
      <c r="A322" s="16" t="s">
        <v>178</v>
      </c>
    </row>
    <row r="324" spans="1:1" x14ac:dyDescent="0.25">
      <c r="A324" s="15" t="s">
        <v>97</v>
      </c>
    </row>
    <row r="325" spans="1:1" x14ac:dyDescent="0.25">
      <c r="A325" s="17"/>
    </row>
    <row r="326" spans="1:1" x14ac:dyDescent="0.25">
      <c r="A326" s="17" t="s">
        <v>98</v>
      </c>
    </row>
    <row r="327" spans="1:1" x14ac:dyDescent="0.25">
      <c r="A327" s="17" t="s">
        <v>179</v>
      </c>
    </row>
    <row r="328" spans="1:1" x14ac:dyDescent="0.25">
      <c r="A328" s="17" t="s">
        <v>180</v>
      </c>
    </row>
    <row r="329" spans="1:1" x14ac:dyDescent="0.25">
      <c r="A329" s="17" t="s">
        <v>181</v>
      </c>
    </row>
    <row r="330" spans="1:1" x14ac:dyDescent="0.25">
      <c r="A330" s="17" t="s">
        <v>182</v>
      </c>
    </row>
    <row r="331" spans="1:1" x14ac:dyDescent="0.25">
      <c r="A331" s="17" t="s">
        <v>103</v>
      </c>
    </row>
    <row r="333" spans="1:1" x14ac:dyDescent="0.25">
      <c r="A333" s="15" t="s">
        <v>183</v>
      </c>
    </row>
    <row r="334" spans="1:1" x14ac:dyDescent="0.25">
      <c r="A334" s="17"/>
    </row>
    <row r="335" spans="1:1" x14ac:dyDescent="0.25">
      <c r="A335" s="18" t="s">
        <v>184</v>
      </c>
    </row>
    <row r="337" spans="1:1" x14ac:dyDescent="0.25">
      <c r="A337" s="15" t="s">
        <v>185</v>
      </c>
    </row>
    <row r="338" spans="1:1" x14ac:dyDescent="0.25">
      <c r="A338" s="17"/>
    </row>
    <row r="339" spans="1:1" x14ac:dyDescent="0.25">
      <c r="A339" s="18" t="s">
        <v>186</v>
      </c>
    </row>
    <row r="340" spans="1:1" x14ac:dyDescent="0.25">
      <c r="A340" s="18" t="s">
        <v>187</v>
      </c>
    </row>
    <row r="344" spans="1:1" ht="18" x14ac:dyDescent="0.25">
      <c r="A344" s="16" t="s">
        <v>188</v>
      </c>
    </row>
    <row r="346" spans="1:1" x14ac:dyDescent="0.25">
      <c r="A346" s="15" t="s">
        <v>97</v>
      </c>
    </row>
    <row r="347" spans="1:1" x14ac:dyDescent="0.25">
      <c r="A347" s="17"/>
    </row>
    <row r="348" spans="1:1" x14ac:dyDescent="0.25">
      <c r="A348" s="17" t="s">
        <v>98</v>
      </c>
    </row>
    <row r="349" spans="1:1" x14ac:dyDescent="0.25">
      <c r="A349" s="17" t="s">
        <v>142</v>
      </c>
    </row>
    <row r="350" spans="1:1" x14ac:dyDescent="0.25">
      <c r="A350" s="17" t="s">
        <v>189</v>
      </c>
    </row>
    <row r="351" spans="1:1" x14ac:dyDescent="0.25">
      <c r="A351" s="17" t="s">
        <v>103</v>
      </c>
    </row>
    <row r="353" spans="1:1" x14ac:dyDescent="0.25">
      <c r="A353" s="15" t="s">
        <v>144</v>
      </c>
    </row>
    <row r="354" spans="1:1" x14ac:dyDescent="0.25">
      <c r="A354" s="17"/>
    </row>
    <row r="355" spans="1:1" x14ac:dyDescent="0.25">
      <c r="A355" s="18" t="s">
        <v>190</v>
      </c>
    </row>
    <row r="356" spans="1:1" x14ac:dyDescent="0.25">
      <c r="A356" s="18" t="s">
        <v>191</v>
      </c>
    </row>
    <row r="360" spans="1:1" ht="18" x14ac:dyDescent="0.25">
      <c r="A360" s="16" t="s">
        <v>192</v>
      </c>
    </row>
    <row r="362" spans="1:1" x14ac:dyDescent="0.25">
      <c r="A362" s="15" t="s">
        <v>97</v>
      </c>
    </row>
    <row r="363" spans="1:1" x14ac:dyDescent="0.25">
      <c r="A363" s="17"/>
    </row>
    <row r="364" spans="1:1" x14ac:dyDescent="0.25">
      <c r="A364" s="17" t="s">
        <v>98</v>
      </c>
    </row>
    <row r="365" spans="1:1" x14ac:dyDescent="0.25">
      <c r="A365" s="17" t="s">
        <v>193</v>
      </c>
    </row>
    <row r="366" spans="1:1" x14ac:dyDescent="0.25">
      <c r="A366" s="17" t="s">
        <v>194</v>
      </c>
    </row>
    <row r="367" spans="1:1" x14ac:dyDescent="0.25">
      <c r="A367" s="17" t="s">
        <v>195</v>
      </c>
    </row>
    <row r="368" spans="1:1" x14ac:dyDescent="0.25">
      <c r="A368" s="17" t="s">
        <v>196</v>
      </c>
    </row>
    <row r="369" spans="1:1" x14ac:dyDescent="0.25">
      <c r="A369" s="17" t="s">
        <v>197</v>
      </c>
    </row>
    <row r="370" spans="1:1" x14ac:dyDescent="0.25">
      <c r="A370" s="17" t="s">
        <v>198</v>
      </c>
    </row>
    <row r="371" spans="1:1" x14ac:dyDescent="0.25">
      <c r="A371" s="17" t="s">
        <v>199</v>
      </c>
    </row>
    <row r="372" spans="1:1" x14ac:dyDescent="0.25">
      <c r="A372" s="17" t="s">
        <v>103</v>
      </c>
    </row>
    <row r="374" spans="1:1" x14ac:dyDescent="0.25">
      <c r="A374" s="15" t="s">
        <v>200</v>
      </c>
    </row>
    <row r="375" spans="1:1" x14ac:dyDescent="0.25">
      <c r="A375" s="17"/>
    </row>
    <row r="376" spans="1:1" x14ac:dyDescent="0.25">
      <c r="A376" s="18" t="s">
        <v>201</v>
      </c>
    </row>
    <row r="377" spans="1:1" x14ac:dyDescent="0.25">
      <c r="A377" s="18" t="s">
        <v>202</v>
      </c>
    </row>
    <row r="381" spans="1:1" ht="18" x14ac:dyDescent="0.25">
      <c r="A381" s="16" t="s">
        <v>203</v>
      </c>
    </row>
    <row r="383" spans="1:1" x14ac:dyDescent="0.25">
      <c r="A383" s="15" t="s">
        <v>97</v>
      </c>
    </row>
    <row r="384" spans="1:1" x14ac:dyDescent="0.25">
      <c r="A384" s="17"/>
    </row>
    <row r="385" spans="1:1" x14ac:dyDescent="0.25">
      <c r="A385" s="17" t="s">
        <v>98</v>
      </c>
    </row>
    <row r="386" spans="1:1" x14ac:dyDescent="0.25">
      <c r="A386" s="17" t="s">
        <v>204</v>
      </c>
    </row>
    <row r="387" spans="1:1" x14ac:dyDescent="0.25">
      <c r="A387" s="17" t="s">
        <v>205</v>
      </c>
    </row>
    <row r="388" spans="1:1" x14ac:dyDescent="0.25">
      <c r="A388" s="17" t="s">
        <v>206</v>
      </c>
    </row>
    <row r="389" spans="1:1" x14ac:dyDescent="0.25">
      <c r="A389" s="17" t="s">
        <v>207</v>
      </c>
    </row>
    <row r="390" spans="1:1" x14ac:dyDescent="0.25">
      <c r="A390" s="17" t="s">
        <v>208</v>
      </c>
    </row>
    <row r="391" spans="1:1" x14ac:dyDescent="0.25">
      <c r="A391" s="17" t="s">
        <v>209</v>
      </c>
    </row>
    <row r="392" spans="1:1" x14ac:dyDescent="0.25">
      <c r="A392" s="17" t="s">
        <v>103</v>
      </c>
    </row>
    <row r="394" spans="1:1" x14ac:dyDescent="0.25">
      <c r="A394" s="15" t="s">
        <v>210</v>
      </c>
    </row>
    <row r="395" spans="1:1" x14ac:dyDescent="0.25">
      <c r="A395" s="17"/>
    </row>
    <row r="396" spans="1:1" x14ac:dyDescent="0.25">
      <c r="A396" s="18" t="s">
        <v>211</v>
      </c>
    </row>
    <row r="397" spans="1:1" x14ac:dyDescent="0.25">
      <c r="A397" s="18" t="s">
        <v>212</v>
      </c>
    </row>
    <row r="401" spans="1:1" ht="18" x14ac:dyDescent="0.25">
      <c r="A401" s="16" t="s">
        <v>213</v>
      </c>
    </row>
    <row r="403" spans="1:1" x14ac:dyDescent="0.25">
      <c r="A403" s="15" t="s">
        <v>97</v>
      </c>
    </row>
    <row r="404" spans="1:1" x14ac:dyDescent="0.25">
      <c r="A404" s="17"/>
    </row>
    <row r="405" spans="1:1" x14ac:dyDescent="0.25">
      <c r="A405" s="17" t="s">
        <v>98</v>
      </c>
    </row>
    <row r="406" spans="1:1" x14ac:dyDescent="0.25">
      <c r="A406" s="17" t="s">
        <v>214</v>
      </c>
    </row>
    <row r="407" spans="1:1" x14ac:dyDescent="0.25">
      <c r="A407" s="17" t="s">
        <v>215</v>
      </c>
    </row>
    <row r="408" spans="1:1" x14ac:dyDescent="0.25">
      <c r="A408" s="17" t="s">
        <v>216</v>
      </c>
    </row>
    <row r="409" spans="1:1" x14ac:dyDescent="0.25">
      <c r="A409" s="17" t="s">
        <v>217</v>
      </c>
    </row>
    <row r="410" spans="1:1" x14ac:dyDescent="0.25">
      <c r="A410" s="17" t="s">
        <v>150</v>
      </c>
    </row>
    <row r="411" spans="1:1" x14ac:dyDescent="0.25">
      <c r="A411" s="17" t="s">
        <v>151</v>
      </c>
    </row>
    <row r="412" spans="1:1" x14ac:dyDescent="0.25">
      <c r="A412" s="17" t="s">
        <v>103</v>
      </c>
    </row>
    <row r="414" spans="1:1" x14ac:dyDescent="0.25">
      <c r="A414" s="15" t="s">
        <v>218</v>
      </c>
    </row>
    <row r="415" spans="1:1" x14ac:dyDescent="0.25">
      <c r="A415" s="17"/>
    </row>
    <row r="416" spans="1:1" x14ac:dyDescent="0.25">
      <c r="A416" s="18" t="s">
        <v>219</v>
      </c>
    </row>
    <row r="417" spans="1:1" x14ac:dyDescent="0.25">
      <c r="A417" s="18" t="s">
        <v>220</v>
      </c>
    </row>
    <row r="421" spans="1:1" ht="18" x14ac:dyDescent="0.25">
      <c r="A421" s="16" t="s">
        <v>221</v>
      </c>
    </row>
    <row r="423" spans="1:1" x14ac:dyDescent="0.25">
      <c r="A423" s="15" t="s">
        <v>97</v>
      </c>
    </row>
    <row r="424" spans="1:1" x14ac:dyDescent="0.25">
      <c r="A424" s="17"/>
    </row>
    <row r="425" spans="1:1" x14ac:dyDescent="0.25">
      <c r="A425" s="17" t="s">
        <v>98</v>
      </c>
    </row>
    <row r="426" spans="1:1" x14ac:dyDescent="0.25">
      <c r="A426" s="17" t="s">
        <v>222</v>
      </c>
    </row>
    <row r="427" spans="1:1" x14ac:dyDescent="0.25">
      <c r="A427" s="17" t="s">
        <v>223</v>
      </c>
    </row>
    <row r="428" spans="1:1" x14ac:dyDescent="0.25">
      <c r="A428" s="17" t="s">
        <v>224</v>
      </c>
    </row>
    <row r="429" spans="1:1" x14ac:dyDescent="0.25">
      <c r="A429" s="17" t="s">
        <v>103</v>
      </c>
    </row>
    <row r="431" spans="1:1" x14ac:dyDescent="0.25">
      <c r="A431" s="15" t="s">
        <v>225</v>
      </c>
    </row>
    <row r="432" spans="1:1" x14ac:dyDescent="0.25">
      <c r="A432" s="17"/>
    </row>
    <row r="433" spans="1:1" x14ac:dyDescent="0.25">
      <c r="A433" s="18" t="s">
        <v>226</v>
      </c>
    </row>
    <row r="434" spans="1:1" x14ac:dyDescent="0.25">
      <c r="A434" s="18" t="s">
        <v>227</v>
      </c>
    </row>
    <row r="436" spans="1:1" ht="18" x14ac:dyDescent="0.25">
      <c r="A436" s="16" t="s">
        <v>228</v>
      </c>
    </row>
    <row r="438" spans="1:1" ht="15.75" x14ac:dyDescent="0.25">
      <c r="A438" s="25" t="s">
        <v>229</v>
      </c>
    </row>
    <row r="439" spans="1:1" x14ac:dyDescent="0.25">
      <c r="A439" s="17"/>
    </row>
    <row r="440" spans="1:1" x14ac:dyDescent="0.25">
      <c r="A440" s="17" t="s">
        <v>230</v>
      </c>
    </row>
    <row r="441" spans="1:1" x14ac:dyDescent="0.25">
      <c r="A441" s="17" t="s">
        <v>231</v>
      </c>
    </row>
    <row r="443" spans="1:1" ht="15.75" x14ac:dyDescent="0.25">
      <c r="A443" s="25" t="s">
        <v>78</v>
      </c>
    </row>
    <row r="444" spans="1:1" x14ac:dyDescent="0.25">
      <c r="A444" s="17"/>
    </row>
    <row r="445" spans="1:1" x14ac:dyDescent="0.25">
      <c r="A445" s="18" t="s">
        <v>232</v>
      </c>
    </row>
    <row r="446" spans="1:1" x14ac:dyDescent="0.25">
      <c r="A446" s="19" t="s">
        <v>233</v>
      </c>
    </row>
    <row r="447" spans="1:1" x14ac:dyDescent="0.25">
      <c r="A447" s="19" t="s">
        <v>234</v>
      </c>
    </row>
    <row r="448" spans="1:1" x14ac:dyDescent="0.25">
      <c r="A448" s="19" t="s">
        <v>235</v>
      </c>
    </row>
    <row r="449" spans="1:1" x14ac:dyDescent="0.25">
      <c r="A449" s="18" t="s">
        <v>236</v>
      </c>
    </row>
    <row r="451" spans="1:1" ht="15.75" x14ac:dyDescent="0.25">
      <c r="A451" s="25" t="s">
        <v>237</v>
      </c>
    </row>
    <row r="452" spans="1:1" x14ac:dyDescent="0.25">
      <c r="A452" s="17"/>
    </row>
    <row r="453" spans="1:1" x14ac:dyDescent="0.25">
      <c r="A453" s="17" t="s">
        <v>98</v>
      </c>
    </row>
    <row r="454" spans="1:1" x14ac:dyDescent="0.25">
      <c r="A454" s="17" t="s">
        <v>238</v>
      </c>
    </row>
    <row r="455" spans="1:1" x14ac:dyDescent="0.25">
      <c r="A455" s="17" t="s">
        <v>239</v>
      </c>
    </row>
    <row r="456" spans="1:1" x14ac:dyDescent="0.25">
      <c r="A456" s="17" t="s">
        <v>240</v>
      </c>
    </row>
    <row r="457" spans="1:1" x14ac:dyDescent="0.25">
      <c r="A457" s="17" t="s">
        <v>241</v>
      </c>
    </row>
    <row r="458" spans="1:1" x14ac:dyDescent="0.25">
      <c r="A458" s="17" t="s">
        <v>103</v>
      </c>
    </row>
    <row r="460" spans="1:1" ht="15.75" x14ac:dyDescent="0.25">
      <c r="A460" s="25" t="s">
        <v>242</v>
      </c>
    </row>
    <row r="462" spans="1:1" x14ac:dyDescent="0.25">
      <c r="A462" t="s">
        <v>243</v>
      </c>
    </row>
    <row r="464" spans="1:1" ht="15.75" x14ac:dyDescent="0.25">
      <c r="A464" s="25" t="s">
        <v>244</v>
      </c>
    </row>
    <row r="465" spans="1:1" x14ac:dyDescent="0.25">
      <c r="A465" s="17"/>
    </row>
    <row r="466" spans="1:1" x14ac:dyDescent="0.25">
      <c r="A466" s="18" t="s">
        <v>245</v>
      </c>
    </row>
    <row r="467" spans="1:1" x14ac:dyDescent="0.25">
      <c r="A467" s="18" t="s">
        <v>246</v>
      </c>
    </row>
    <row r="468" spans="1:1" x14ac:dyDescent="0.25">
      <c r="A468" s="18" t="s">
        <v>247</v>
      </c>
    </row>
    <row r="469" spans="1:1" x14ac:dyDescent="0.25">
      <c r="A469" s="18" t="s">
        <v>248</v>
      </c>
    </row>
    <row r="470" spans="1:1" x14ac:dyDescent="0.25">
      <c r="A470" s="18" t="s">
        <v>249</v>
      </c>
    </row>
    <row r="471" spans="1:1" x14ac:dyDescent="0.25">
      <c r="A471" s="18" t="s">
        <v>250</v>
      </c>
    </row>
    <row r="472" spans="1:1" x14ac:dyDescent="0.25">
      <c r="A472" s="18" t="s">
        <v>251</v>
      </c>
    </row>
    <row r="473" spans="1:1" x14ac:dyDescent="0.25">
      <c r="A473" s="18" t="s">
        <v>252</v>
      </c>
    </row>
    <row r="474" spans="1:1" x14ac:dyDescent="0.25">
      <c r="A474" s="18" t="s">
        <v>253</v>
      </c>
    </row>
    <row r="475" spans="1:1" x14ac:dyDescent="0.25">
      <c r="A475" s="18" t="s">
        <v>254</v>
      </c>
    </row>
    <row r="479" spans="1:1" ht="18" x14ac:dyDescent="0.25">
      <c r="A479" s="16" t="s">
        <v>255</v>
      </c>
    </row>
    <row r="481" spans="1:1" ht="15.75" x14ac:dyDescent="0.25">
      <c r="A481" s="25" t="s">
        <v>229</v>
      </c>
    </row>
    <row r="482" spans="1:1" x14ac:dyDescent="0.25">
      <c r="A482" s="17"/>
    </row>
    <row r="483" spans="1:1" x14ac:dyDescent="0.25">
      <c r="A483" s="17" t="s">
        <v>256</v>
      </c>
    </row>
    <row r="484" spans="1:1" x14ac:dyDescent="0.25">
      <c r="A484" s="17" t="s">
        <v>257</v>
      </c>
    </row>
    <row r="485" spans="1:1" x14ac:dyDescent="0.25">
      <c r="A485" s="17" t="s">
        <v>258</v>
      </c>
    </row>
    <row r="487" spans="1:1" ht="15.75" x14ac:dyDescent="0.25">
      <c r="A487" s="25" t="s">
        <v>78</v>
      </c>
    </row>
    <row r="488" spans="1:1" x14ac:dyDescent="0.25">
      <c r="A488" s="17"/>
    </row>
    <row r="489" spans="1:1" x14ac:dyDescent="0.25">
      <c r="A489" s="18" t="s">
        <v>259</v>
      </c>
    </row>
    <row r="490" spans="1:1" x14ac:dyDescent="0.25">
      <c r="A490" s="18" t="s">
        <v>260</v>
      </c>
    </row>
    <row r="492" spans="1:1" ht="15.75" x14ac:dyDescent="0.25">
      <c r="A492" s="25" t="s">
        <v>237</v>
      </c>
    </row>
    <row r="493" spans="1:1" x14ac:dyDescent="0.25">
      <c r="A493" s="17"/>
    </row>
    <row r="494" spans="1:1" x14ac:dyDescent="0.25">
      <c r="A494" s="17" t="s">
        <v>98</v>
      </c>
    </row>
    <row r="495" spans="1:1" x14ac:dyDescent="0.25">
      <c r="A495" s="17" t="s">
        <v>261</v>
      </c>
    </row>
    <row r="496" spans="1:1" x14ac:dyDescent="0.25">
      <c r="A496" s="17" t="s">
        <v>262</v>
      </c>
    </row>
    <row r="497" spans="1:1" x14ac:dyDescent="0.25">
      <c r="A497" s="17" t="s">
        <v>263</v>
      </c>
    </row>
    <row r="498" spans="1:1" x14ac:dyDescent="0.25">
      <c r="A498" s="17" t="s">
        <v>264</v>
      </c>
    </row>
    <row r="499" spans="1:1" x14ac:dyDescent="0.25">
      <c r="A499" s="17" t="s">
        <v>265</v>
      </c>
    </row>
    <row r="500" spans="1:1" x14ac:dyDescent="0.25">
      <c r="A500" s="17" t="s">
        <v>103</v>
      </c>
    </row>
    <row r="502" spans="1:1" ht="15.75" x14ac:dyDescent="0.25">
      <c r="A502" s="25" t="s">
        <v>242</v>
      </c>
    </row>
    <row r="504" spans="1:1" x14ac:dyDescent="0.25">
      <c r="A504" t="s">
        <v>266</v>
      </c>
    </row>
    <row r="506" spans="1:1" ht="15.75" x14ac:dyDescent="0.25">
      <c r="A506" s="25" t="s">
        <v>244</v>
      </c>
    </row>
    <row r="507" spans="1:1" x14ac:dyDescent="0.25">
      <c r="A507" s="17"/>
    </row>
    <row r="508" spans="1:1" x14ac:dyDescent="0.25">
      <c r="A508" s="18" t="s">
        <v>267</v>
      </c>
    </row>
    <row r="509" spans="1:1" x14ac:dyDescent="0.25">
      <c r="A509" s="18" t="s">
        <v>268</v>
      </c>
    </row>
    <row r="510" spans="1:1" x14ac:dyDescent="0.25">
      <c r="A510" s="18" t="s">
        <v>269</v>
      </c>
    </row>
    <row r="511" spans="1:1" x14ac:dyDescent="0.25">
      <c r="A511" s="18" t="s">
        <v>270</v>
      </c>
    </row>
    <row r="512" spans="1:1" x14ac:dyDescent="0.25">
      <c r="A512" s="18" t="s">
        <v>271</v>
      </c>
    </row>
    <row r="513" spans="1:1" x14ac:dyDescent="0.25">
      <c r="A513" s="18" t="s">
        <v>272</v>
      </c>
    </row>
    <row r="514" spans="1:1" x14ac:dyDescent="0.25">
      <c r="A514" s="18" t="s">
        <v>273</v>
      </c>
    </row>
    <row r="515" spans="1:1" x14ac:dyDescent="0.25">
      <c r="A515" s="18" t="s">
        <v>274</v>
      </c>
    </row>
    <row r="516" spans="1:1" x14ac:dyDescent="0.25">
      <c r="A516" s="18" t="s">
        <v>275</v>
      </c>
    </row>
    <row r="517" spans="1:1" x14ac:dyDescent="0.25">
      <c r="A517" s="18" t="s">
        <v>276</v>
      </c>
    </row>
    <row r="521" spans="1:1" ht="18" x14ac:dyDescent="0.25">
      <c r="A521" s="16" t="s">
        <v>277</v>
      </c>
    </row>
    <row r="524" spans="1:1" ht="15.75" x14ac:dyDescent="0.25">
      <c r="A524" s="25" t="s">
        <v>229</v>
      </c>
    </row>
    <row r="525" spans="1:1" x14ac:dyDescent="0.25">
      <c r="A525" s="17"/>
    </row>
    <row r="526" spans="1:1" x14ac:dyDescent="0.25">
      <c r="A526" s="17" t="s">
        <v>278</v>
      </c>
    </row>
    <row r="527" spans="1:1" x14ac:dyDescent="0.25">
      <c r="A527" s="17" t="s">
        <v>279</v>
      </c>
    </row>
    <row r="528" spans="1:1" x14ac:dyDescent="0.25">
      <c r="A528" s="17" t="s">
        <v>280</v>
      </c>
    </row>
    <row r="530" spans="1:1" ht="15.75" x14ac:dyDescent="0.25">
      <c r="A530" s="25" t="s">
        <v>78</v>
      </c>
    </row>
    <row r="531" spans="1:1" x14ac:dyDescent="0.25">
      <c r="A531" s="17"/>
    </row>
    <row r="532" spans="1:1" x14ac:dyDescent="0.25">
      <c r="A532" s="18" t="s">
        <v>281</v>
      </c>
    </row>
    <row r="533" spans="1:1" x14ac:dyDescent="0.25">
      <c r="A533" s="18" t="s">
        <v>282</v>
      </c>
    </row>
    <row r="535" spans="1:1" ht="15.75" x14ac:dyDescent="0.25">
      <c r="A535" s="25" t="s">
        <v>237</v>
      </c>
    </row>
    <row r="536" spans="1:1" x14ac:dyDescent="0.25">
      <c r="A536" s="17"/>
    </row>
    <row r="537" spans="1:1" x14ac:dyDescent="0.25">
      <c r="A537" s="17" t="s">
        <v>98</v>
      </c>
    </row>
    <row r="538" spans="1:1" x14ac:dyDescent="0.25">
      <c r="A538" s="17" t="s">
        <v>283</v>
      </c>
    </row>
    <row r="539" spans="1:1" x14ac:dyDescent="0.25">
      <c r="A539" s="17" t="s">
        <v>284</v>
      </c>
    </row>
    <row r="540" spans="1:1" x14ac:dyDescent="0.25">
      <c r="A540" s="17" t="s">
        <v>285</v>
      </c>
    </row>
    <row r="541" spans="1:1" x14ac:dyDescent="0.25">
      <c r="A541" s="17" t="s">
        <v>286</v>
      </c>
    </row>
    <row r="542" spans="1:1" x14ac:dyDescent="0.25">
      <c r="A542" s="17" t="s">
        <v>103</v>
      </c>
    </row>
    <row r="544" spans="1:1" ht="15.75" x14ac:dyDescent="0.25">
      <c r="A544" s="25" t="s">
        <v>242</v>
      </c>
    </row>
    <row r="546" spans="1:1" x14ac:dyDescent="0.25">
      <c r="A546" t="s">
        <v>287</v>
      </c>
    </row>
    <row r="548" spans="1:1" ht="15.75" x14ac:dyDescent="0.25">
      <c r="A548" s="25" t="s">
        <v>244</v>
      </c>
    </row>
    <row r="549" spans="1:1" x14ac:dyDescent="0.25">
      <c r="A549" s="17"/>
    </row>
    <row r="550" spans="1:1" x14ac:dyDescent="0.25">
      <c r="A550" s="18" t="s">
        <v>288</v>
      </c>
    </row>
    <row r="551" spans="1:1" x14ac:dyDescent="0.25">
      <c r="A551" s="18" t="s">
        <v>289</v>
      </c>
    </row>
    <row r="552" spans="1:1" x14ac:dyDescent="0.25">
      <c r="A552" s="18" t="s">
        <v>290</v>
      </c>
    </row>
    <row r="553" spans="1:1" x14ac:dyDescent="0.25">
      <c r="A553" s="18" t="s">
        <v>291</v>
      </c>
    </row>
    <row r="554" spans="1:1" x14ac:dyDescent="0.25">
      <c r="A554" s="18" t="s">
        <v>292</v>
      </c>
    </row>
    <row r="555" spans="1:1" x14ac:dyDescent="0.25">
      <c r="A555" s="18" t="s">
        <v>293</v>
      </c>
    </row>
    <row r="556" spans="1:1" x14ac:dyDescent="0.25">
      <c r="A556" s="18" t="s">
        <v>294</v>
      </c>
    </row>
    <row r="557" spans="1:1" x14ac:dyDescent="0.25">
      <c r="A557" s="18" t="s">
        <v>295</v>
      </c>
    </row>
    <row r="558" spans="1:1" x14ac:dyDescent="0.25">
      <c r="A558" s="18" t="s">
        <v>296</v>
      </c>
    </row>
    <row r="559" spans="1:1" x14ac:dyDescent="0.25">
      <c r="A559" s="18" t="s">
        <v>297</v>
      </c>
    </row>
    <row r="563" spans="1:1" ht="18" x14ac:dyDescent="0.25">
      <c r="A563" s="16" t="s">
        <v>298</v>
      </c>
    </row>
    <row r="565" spans="1:1" ht="15.75" x14ac:dyDescent="0.25">
      <c r="A565" s="25" t="s">
        <v>229</v>
      </c>
    </row>
    <row r="566" spans="1:1" x14ac:dyDescent="0.25">
      <c r="A566" s="17"/>
    </row>
    <row r="567" spans="1:1" x14ac:dyDescent="0.25">
      <c r="A567" s="17" t="s">
        <v>299</v>
      </c>
    </row>
    <row r="568" spans="1:1" x14ac:dyDescent="0.25">
      <c r="A568" s="17" t="s">
        <v>300</v>
      </c>
    </row>
    <row r="570" spans="1:1" ht="15.75" x14ac:dyDescent="0.25">
      <c r="A570" s="25" t="s">
        <v>78</v>
      </c>
    </row>
    <row r="571" spans="1:1" x14ac:dyDescent="0.25">
      <c r="A571" s="17"/>
    </row>
    <row r="572" spans="1:1" x14ac:dyDescent="0.25">
      <c r="A572" s="18" t="s">
        <v>232</v>
      </c>
    </row>
    <row r="573" spans="1:1" x14ac:dyDescent="0.25">
      <c r="A573" s="19" t="s">
        <v>301</v>
      </c>
    </row>
    <row r="574" spans="1:1" x14ac:dyDescent="0.25">
      <c r="A574" s="19" t="s">
        <v>302</v>
      </c>
    </row>
    <row r="575" spans="1:1" x14ac:dyDescent="0.25">
      <c r="A575" s="18" t="s">
        <v>303</v>
      </c>
    </row>
    <row r="577" spans="1:1" ht="15.75" x14ac:dyDescent="0.25">
      <c r="A577" s="25" t="s">
        <v>237</v>
      </c>
    </row>
    <row r="578" spans="1:1" x14ac:dyDescent="0.25">
      <c r="A578" s="17"/>
    </row>
    <row r="579" spans="1:1" x14ac:dyDescent="0.25">
      <c r="A579" s="17" t="s">
        <v>98</v>
      </c>
    </row>
    <row r="580" spans="1:1" x14ac:dyDescent="0.25">
      <c r="A580" s="17" t="s">
        <v>304</v>
      </c>
    </row>
    <row r="581" spans="1:1" x14ac:dyDescent="0.25">
      <c r="A581" s="17" t="s">
        <v>305</v>
      </c>
    </row>
    <row r="582" spans="1:1" x14ac:dyDescent="0.25">
      <c r="A582" s="17" t="s">
        <v>306</v>
      </c>
    </row>
    <row r="583" spans="1:1" x14ac:dyDescent="0.25">
      <c r="A583" s="17" t="s">
        <v>307</v>
      </c>
    </row>
    <row r="584" spans="1:1" x14ac:dyDescent="0.25">
      <c r="A584" s="17" t="s">
        <v>103</v>
      </c>
    </row>
    <row r="586" spans="1:1" ht="15.75" x14ac:dyDescent="0.25">
      <c r="A586" s="25" t="s">
        <v>242</v>
      </c>
    </row>
    <row r="588" spans="1:1" x14ac:dyDescent="0.25">
      <c r="A588" t="s">
        <v>308</v>
      </c>
    </row>
    <row r="590" spans="1:1" ht="15.75" x14ac:dyDescent="0.25">
      <c r="A590" s="25" t="s">
        <v>244</v>
      </c>
    </row>
    <row r="591" spans="1:1" x14ac:dyDescent="0.25">
      <c r="A591" s="17"/>
    </row>
    <row r="592" spans="1:1" x14ac:dyDescent="0.25">
      <c r="A592" s="18" t="s">
        <v>309</v>
      </c>
    </row>
    <row r="593" spans="1:1" x14ac:dyDescent="0.25">
      <c r="A593" s="18" t="s">
        <v>310</v>
      </c>
    </row>
    <row r="594" spans="1:1" x14ac:dyDescent="0.25">
      <c r="A594" s="18" t="s">
        <v>311</v>
      </c>
    </row>
    <row r="595" spans="1:1" x14ac:dyDescent="0.25">
      <c r="A595" s="18" t="s">
        <v>312</v>
      </c>
    </row>
    <row r="596" spans="1:1" x14ac:dyDescent="0.25">
      <c r="A596" s="18" t="s">
        <v>313</v>
      </c>
    </row>
    <row r="597" spans="1:1" x14ac:dyDescent="0.25">
      <c r="A597" s="18" t="s">
        <v>314</v>
      </c>
    </row>
    <row r="598" spans="1:1" x14ac:dyDescent="0.25">
      <c r="A598" s="18" t="s">
        <v>315</v>
      </c>
    </row>
    <row r="599" spans="1:1" x14ac:dyDescent="0.25">
      <c r="A599" s="18" t="s">
        <v>316</v>
      </c>
    </row>
    <row r="600" spans="1:1" x14ac:dyDescent="0.25">
      <c r="A600" s="18" t="s">
        <v>317</v>
      </c>
    </row>
    <row r="601" spans="1:1" x14ac:dyDescent="0.25">
      <c r="A601" s="18" t="s">
        <v>318</v>
      </c>
    </row>
    <row r="605" spans="1:1" ht="18" x14ac:dyDescent="0.25">
      <c r="A605" s="16" t="s">
        <v>319</v>
      </c>
    </row>
    <row r="608" spans="1:1" ht="15.75" x14ac:dyDescent="0.25">
      <c r="A608" s="25" t="s">
        <v>229</v>
      </c>
    </row>
    <row r="609" spans="1:1" x14ac:dyDescent="0.25">
      <c r="A609" s="17"/>
    </row>
    <row r="610" spans="1:1" x14ac:dyDescent="0.25">
      <c r="A610" s="17" t="s">
        <v>320</v>
      </c>
    </row>
    <row r="611" spans="1:1" x14ac:dyDescent="0.25">
      <c r="A611" s="17" t="s">
        <v>321</v>
      </c>
    </row>
    <row r="612" spans="1:1" x14ac:dyDescent="0.25">
      <c r="A612" s="17" t="s">
        <v>322</v>
      </c>
    </row>
    <row r="614" spans="1:1" ht="15.75" x14ac:dyDescent="0.25">
      <c r="A614" s="25" t="s">
        <v>78</v>
      </c>
    </row>
    <row r="615" spans="1:1" x14ac:dyDescent="0.25">
      <c r="A615" s="17"/>
    </row>
    <row r="616" spans="1:1" x14ac:dyDescent="0.25">
      <c r="A616" s="18" t="s">
        <v>323</v>
      </c>
    </row>
    <row r="617" spans="1:1" x14ac:dyDescent="0.25">
      <c r="A617" s="17" t="s">
        <v>324</v>
      </c>
    </row>
    <row r="619" spans="1:1" ht="15.75" x14ac:dyDescent="0.25">
      <c r="A619" s="25" t="s">
        <v>237</v>
      </c>
    </row>
    <row r="620" spans="1:1" x14ac:dyDescent="0.25">
      <c r="A620" s="17"/>
    </row>
    <row r="621" spans="1:1" x14ac:dyDescent="0.25">
      <c r="A621" s="17" t="s">
        <v>98</v>
      </c>
    </row>
    <row r="622" spans="1:1" x14ac:dyDescent="0.25">
      <c r="A622" s="17" t="s">
        <v>325</v>
      </c>
    </row>
    <row r="623" spans="1:1" x14ac:dyDescent="0.25">
      <c r="A623" s="17" t="s">
        <v>326</v>
      </c>
    </row>
    <row r="624" spans="1:1" x14ac:dyDescent="0.25">
      <c r="A624" s="17" t="s">
        <v>327</v>
      </c>
    </row>
    <row r="625" spans="1:1" x14ac:dyDescent="0.25">
      <c r="A625" s="17" t="s">
        <v>328</v>
      </c>
    </row>
    <row r="626" spans="1:1" x14ac:dyDescent="0.25">
      <c r="A626" s="17" t="s">
        <v>103</v>
      </c>
    </row>
    <row r="628" spans="1:1" ht="15.75" x14ac:dyDescent="0.25">
      <c r="A628" s="25" t="s">
        <v>242</v>
      </c>
    </row>
    <row r="630" spans="1:1" x14ac:dyDescent="0.25">
      <c r="A630" t="s">
        <v>329</v>
      </c>
    </row>
    <row r="632" spans="1:1" ht="15.75" x14ac:dyDescent="0.25">
      <c r="A632" s="25" t="s">
        <v>244</v>
      </c>
    </row>
    <row r="633" spans="1:1" x14ac:dyDescent="0.25">
      <c r="A633" s="17"/>
    </row>
    <row r="634" spans="1:1" x14ac:dyDescent="0.25">
      <c r="A634" s="18" t="s">
        <v>330</v>
      </c>
    </row>
    <row r="635" spans="1:1" x14ac:dyDescent="0.25">
      <c r="A635" s="18" t="s">
        <v>331</v>
      </c>
    </row>
    <row r="636" spans="1:1" x14ac:dyDescent="0.25">
      <c r="A636" s="18" t="s">
        <v>332</v>
      </c>
    </row>
    <row r="637" spans="1:1" x14ac:dyDescent="0.25">
      <c r="A637" s="18" t="s">
        <v>333</v>
      </c>
    </row>
    <row r="638" spans="1:1" x14ac:dyDescent="0.25">
      <c r="A638" s="18" t="s">
        <v>334</v>
      </c>
    </row>
    <row r="639" spans="1:1" x14ac:dyDescent="0.25">
      <c r="A639" s="18" t="s">
        <v>335</v>
      </c>
    </row>
    <row r="640" spans="1:1" x14ac:dyDescent="0.25">
      <c r="A640" s="18" t="s">
        <v>336</v>
      </c>
    </row>
  </sheetData>
  <mergeCells count="6">
    <mergeCell ref="A1:K1"/>
    <mergeCell ref="B99:K99"/>
    <mergeCell ref="B100:K100"/>
    <mergeCell ref="B104:K104"/>
    <mergeCell ref="A146:B146"/>
    <mergeCell ref="A108:B10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086E4-0CE1-46C7-BD05-E90100604506}">
  <dimension ref="A1:AH115"/>
  <sheetViews>
    <sheetView tabSelected="1" zoomScaleNormal="100" workbookViewId="0">
      <selection activeCell="D22" sqref="D22"/>
    </sheetView>
  </sheetViews>
  <sheetFormatPr defaultRowHeight="15" x14ac:dyDescent="0.25"/>
  <cols>
    <col min="1" max="1" width="37.5703125" customWidth="1"/>
    <col min="2" max="3" width="12" customWidth="1"/>
    <col min="4" max="4" width="14.7109375" customWidth="1"/>
    <col min="5" max="11" width="12" customWidth="1"/>
    <col min="12" max="13" width="13.42578125" customWidth="1"/>
    <col min="15" max="15" width="0" hidden="1" customWidth="1"/>
    <col min="16" max="16" width="14.42578125" hidden="1" customWidth="1"/>
    <col min="17" max="20" width="9.140625" hidden="1" customWidth="1"/>
    <col min="21" max="21" width="14" hidden="1" customWidth="1"/>
    <col min="22" max="22" width="13" hidden="1" customWidth="1"/>
    <col min="23" max="29" width="10.5703125" customWidth="1"/>
    <col min="30" max="30" width="12" customWidth="1"/>
    <col min="31" max="31" width="12.42578125" customWidth="1"/>
    <col min="34" max="34" width="13.140625" bestFit="1" customWidth="1"/>
  </cols>
  <sheetData>
    <row r="1" spans="1:26" x14ac:dyDescent="0.25">
      <c r="A1" s="63" t="s">
        <v>363</v>
      </c>
      <c r="B1" s="63"/>
      <c r="C1" s="63"/>
      <c r="D1" s="63"/>
      <c r="E1" s="63"/>
    </row>
    <row r="3" spans="1:26" ht="18.75" x14ac:dyDescent="0.3">
      <c r="A3" s="59" t="s">
        <v>364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26" x14ac:dyDescent="0.25">
      <c r="A4" s="32" t="s">
        <v>77</v>
      </c>
      <c r="B4" s="32" t="s">
        <v>365</v>
      </c>
      <c r="C4" s="32" t="s">
        <v>366</v>
      </c>
      <c r="D4" s="32" t="s">
        <v>367</v>
      </c>
      <c r="E4" s="32" t="s">
        <v>368</v>
      </c>
      <c r="F4" s="32" t="s">
        <v>369</v>
      </c>
      <c r="G4" s="32" t="s">
        <v>370</v>
      </c>
      <c r="H4" s="32" t="s">
        <v>371</v>
      </c>
      <c r="I4" s="32" t="s">
        <v>372</v>
      </c>
      <c r="J4" s="32" t="s">
        <v>373</v>
      </c>
      <c r="K4" s="32" t="s">
        <v>374</v>
      </c>
      <c r="L4" s="32" t="s">
        <v>375</v>
      </c>
      <c r="M4" s="32" t="s">
        <v>376</v>
      </c>
    </row>
    <row r="5" spans="1:26" x14ac:dyDescent="0.25">
      <c r="A5" s="33" t="s">
        <v>11</v>
      </c>
      <c r="B5" s="51">
        <f>5000+SUM(B53:B55)</f>
        <v>8435.8333333333321</v>
      </c>
      <c r="C5" s="51">
        <f>SUM(C53:C55)</f>
        <v>3435.833333333333</v>
      </c>
      <c r="D5" s="51">
        <f t="shared" ref="D5:M5" si="0">SUM(D53:D55)</f>
        <v>3435.833333333333</v>
      </c>
      <c r="E5" s="51">
        <f t="shared" si="0"/>
        <v>1150.6166666666668</v>
      </c>
      <c r="F5" s="51">
        <f t="shared" si="0"/>
        <v>1150.6166666666668</v>
      </c>
      <c r="G5" s="51">
        <f t="shared" si="0"/>
        <v>1150.6166666666668</v>
      </c>
      <c r="H5" s="51">
        <f t="shared" si="0"/>
        <v>1150.6166666666668</v>
      </c>
      <c r="I5" s="51">
        <f t="shared" si="0"/>
        <v>1150.6166666666668</v>
      </c>
      <c r="J5" s="51">
        <f t="shared" si="0"/>
        <v>1150.6166666666668</v>
      </c>
      <c r="K5" s="51">
        <f t="shared" si="0"/>
        <v>1150.6166666666668</v>
      </c>
      <c r="L5" s="51">
        <f>SUM(L53:L55)</f>
        <v>1150.6166666666668</v>
      </c>
      <c r="M5" s="51">
        <f t="shared" si="0"/>
        <v>1154.2333333333333</v>
      </c>
      <c r="P5" s="11">
        <f>5000+SUM(P53:P55)</f>
        <v>25666.666666666668</v>
      </c>
    </row>
    <row r="6" spans="1:26" x14ac:dyDescent="0.25">
      <c r="A6" s="33" t="s">
        <v>12</v>
      </c>
      <c r="B6" s="64">
        <f>(25%/12)*1.08</f>
        <v>2.2499999999999999E-2</v>
      </c>
      <c r="C6" s="64">
        <f t="shared" ref="C6:M6" si="1">(25%/12)*1.1</f>
        <v>2.2916666666666669E-2</v>
      </c>
      <c r="D6" s="64">
        <f t="shared" si="1"/>
        <v>2.2916666666666669E-2</v>
      </c>
      <c r="E6" s="64">
        <f t="shared" si="1"/>
        <v>2.2916666666666669E-2</v>
      </c>
      <c r="F6" s="64">
        <f t="shared" si="1"/>
        <v>2.2916666666666669E-2</v>
      </c>
      <c r="G6" s="64">
        <f t="shared" si="1"/>
        <v>2.2916666666666669E-2</v>
      </c>
      <c r="H6" s="64">
        <f t="shared" si="1"/>
        <v>2.2916666666666669E-2</v>
      </c>
      <c r="I6" s="64">
        <f t="shared" si="1"/>
        <v>2.2916666666666669E-2</v>
      </c>
      <c r="J6" s="64">
        <f t="shared" si="1"/>
        <v>2.2916666666666669E-2</v>
      </c>
      <c r="K6" s="64">
        <f t="shared" si="1"/>
        <v>2.2916666666666669E-2</v>
      </c>
      <c r="L6" s="64">
        <f t="shared" si="1"/>
        <v>2.2916666666666669E-2</v>
      </c>
      <c r="M6" s="64">
        <f t="shared" si="1"/>
        <v>2.2916666666666669E-2</v>
      </c>
      <c r="P6" s="55">
        <v>0.25</v>
      </c>
    </row>
    <row r="7" spans="1:26" x14ac:dyDescent="0.25">
      <c r="A7" s="33" t="s">
        <v>13</v>
      </c>
      <c r="B7" s="64">
        <f>18%/12</f>
        <v>1.4999999999999999E-2</v>
      </c>
      <c r="C7" s="64">
        <f t="shared" ref="C7:M7" si="2">18%/12</f>
        <v>1.4999999999999999E-2</v>
      </c>
      <c r="D7" s="64">
        <f t="shared" si="2"/>
        <v>1.4999999999999999E-2</v>
      </c>
      <c r="E7" s="64">
        <f t="shared" si="2"/>
        <v>1.4999999999999999E-2</v>
      </c>
      <c r="F7" s="64">
        <f t="shared" si="2"/>
        <v>1.4999999999999999E-2</v>
      </c>
      <c r="G7" s="64">
        <f t="shared" si="2"/>
        <v>1.4999999999999999E-2</v>
      </c>
      <c r="H7" s="64">
        <f t="shared" si="2"/>
        <v>1.4999999999999999E-2</v>
      </c>
      <c r="I7" s="64">
        <f t="shared" si="2"/>
        <v>1.4999999999999999E-2</v>
      </c>
      <c r="J7" s="64">
        <f t="shared" si="2"/>
        <v>1.4999999999999999E-2</v>
      </c>
      <c r="K7" s="64">
        <f t="shared" si="2"/>
        <v>1.4999999999999999E-2</v>
      </c>
      <c r="L7" s="64">
        <f t="shared" si="2"/>
        <v>1.4999999999999999E-2</v>
      </c>
      <c r="M7" s="64">
        <f t="shared" si="2"/>
        <v>1.4999999999999999E-2</v>
      </c>
      <c r="P7" s="55">
        <v>0.18</v>
      </c>
    </row>
    <row r="8" spans="1:26" x14ac:dyDescent="0.25">
      <c r="A8" s="31" t="s">
        <v>14</v>
      </c>
      <c r="B8" s="64">
        <f>B6-B7</f>
        <v>7.4999999999999997E-3</v>
      </c>
      <c r="C8" s="64">
        <f t="shared" ref="C8:M8" si="3">C6-C7</f>
        <v>7.9166666666666691E-3</v>
      </c>
      <c r="D8" s="64">
        <f t="shared" si="3"/>
        <v>7.9166666666666691E-3</v>
      </c>
      <c r="E8" s="64">
        <f t="shared" si="3"/>
        <v>7.9166666666666691E-3</v>
      </c>
      <c r="F8" s="64">
        <f t="shared" si="3"/>
        <v>7.9166666666666691E-3</v>
      </c>
      <c r="G8" s="64">
        <f t="shared" si="3"/>
        <v>7.9166666666666691E-3</v>
      </c>
      <c r="H8" s="64">
        <f t="shared" si="3"/>
        <v>7.9166666666666691E-3</v>
      </c>
      <c r="I8" s="64">
        <f t="shared" si="3"/>
        <v>7.9166666666666691E-3</v>
      </c>
      <c r="J8" s="64">
        <f t="shared" si="3"/>
        <v>7.9166666666666691E-3</v>
      </c>
      <c r="K8" s="64">
        <f t="shared" si="3"/>
        <v>7.9166666666666691E-3</v>
      </c>
      <c r="L8" s="64">
        <f t="shared" si="3"/>
        <v>7.9166666666666691E-3</v>
      </c>
      <c r="M8" s="64">
        <f t="shared" si="3"/>
        <v>7.9166666666666691E-3</v>
      </c>
      <c r="P8" s="55">
        <v>7.0000000000000007E-2</v>
      </c>
      <c r="Z8" s="65"/>
    </row>
    <row r="9" spans="1:26" x14ac:dyDescent="0.25">
      <c r="A9" s="32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P9" s="66"/>
      <c r="Z9" s="65"/>
    </row>
    <row r="10" spans="1:26" ht="17.25" x14ac:dyDescent="0.25">
      <c r="A10" s="29" t="s">
        <v>377</v>
      </c>
      <c r="B10" s="38">
        <f>B5*(1+B8)</f>
        <v>8499.1020833333332</v>
      </c>
      <c r="C10" s="38">
        <f>(C5+B10)*(1+C8)</f>
        <v>12029.420322048611</v>
      </c>
      <c r="D10" s="38">
        <f t="shared" ref="D10:M10" si="4">(D5+C10)*(1+D8)</f>
        <v>15587.68691348705</v>
      </c>
      <c r="E10" s="38">
        <f>(E5+D10)*(1+E8)</f>
        <v>16870.815150163267</v>
      </c>
      <c r="F10" s="38">
        <f t="shared" si="4"/>
        <v>18164.101485379837</v>
      </c>
      <c r="G10" s="38">
        <f t="shared" si="4"/>
        <v>19467.626337416867</v>
      </c>
      <c r="H10" s="38">
        <f t="shared" si="4"/>
        <v>20781.470761199191</v>
      </c>
      <c r="I10" s="38">
        <f t="shared" si="4"/>
        <v>22105.716453336463</v>
      </c>
      <c r="J10" s="38">
        <f t="shared" si="4"/>
        <v>23440.445757203153</v>
      </c>
      <c r="K10" s="38">
        <f t="shared" si="4"/>
        <v>24785.741668058788</v>
      </c>
      <c r="L10" s="38">
        <f t="shared" si="4"/>
        <v>26141.687838208694</v>
      </c>
      <c r="M10" s="38">
        <f t="shared" si="4"/>
        <v>27512.013880816732</v>
      </c>
      <c r="P10" s="11">
        <f>(P5*(1+P8))*V10</f>
        <v>27463.333333333336</v>
      </c>
      <c r="V10">
        <v>1</v>
      </c>
      <c r="Z10" s="65"/>
    </row>
    <row r="11" spans="1:26" x14ac:dyDescent="0.25">
      <c r="A11" s="29" t="s">
        <v>15</v>
      </c>
      <c r="B11" s="3">
        <f>B10-B13</f>
        <v>7649.1918749999995</v>
      </c>
      <c r="C11" s="3">
        <f>C10-C13</f>
        <v>10826.47828984375</v>
      </c>
      <c r="D11" s="3">
        <f t="shared" ref="D11:M11" si="5">D10-D13</f>
        <v>14028.918222138345</v>
      </c>
      <c r="E11" s="3">
        <f t="shared" si="5"/>
        <v>15183.73363514694</v>
      </c>
      <c r="F11" s="3">
        <f t="shared" si="5"/>
        <v>16347.691336841854</v>
      </c>
      <c r="G11" s="3">
        <f t="shared" si="5"/>
        <v>17520.863703675179</v>
      </c>
      <c r="H11" s="3">
        <f t="shared" si="5"/>
        <v>18703.323685079271</v>
      </c>
      <c r="I11" s="3">
        <f t="shared" si="5"/>
        <v>19895.144808002817</v>
      </c>
      <c r="J11" s="3">
        <f t="shared" si="5"/>
        <v>21096.401181482837</v>
      </c>
      <c r="K11" s="3">
        <f t="shared" si="5"/>
        <v>22307.167501252909</v>
      </c>
      <c r="L11" s="3">
        <f t="shared" si="5"/>
        <v>23527.519054387823</v>
      </c>
      <c r="M11" s="3">
        <f t="shared" si="5"/>
        <v>24760.812492735058</v>
      </c>
      <c r="P11" s="11">
        <v>24717</v>
      </c>
      <c r="Z11" s="65"/>
    </row>
    <row r="12" spans="1:26" x14ac:dyDescent="0.25">
      <c r="A12" s="33" t="s">
        <v>16</v>
      </c>
      <c r="B12" s="35">
        <v>0.1</v>
      </c>
      <c r="C12" s="35">
        <v>0.1</v>
      </c>
      <c r="D12" s="35">
        <v>0.1</v>
      </c>
      <c r="E12" s="35">
        <v>0.1</v>
      </c>
      <c r="F12" s="35">
        <v>0.1</v>
      </c>
      <c r="G12" s="35">
        <v>0.1</v>
      </c>
      <c r="H12" s="35">
        <v>0.1</v>
      </c>
      <c r="I12" s="35">
        <v>0.1</v>
      </c>
      <c r="J12" s="35">
        <v>0.1</v>
      </c>
      <c r="K12" s="35">
        <v>0.1</v>
      </c>
      <c r="L12" s="35">
        <v>0.1</v>
      </c>
      <c r="M12" s="35">
        <v>0.1</v>
      </c>
      <c r="P12" s="55">
        <v>0.1</v>
      </c>
      <c r="Z12" s="65"/>
    </row>
    <row r="13" spans="1:26" x14ac:dyDescent="0.25">
      <c r="A13" s="29" t="s">
        <v>17</v>
      </c>
      <c r="B13" s="3">
        <f>B10*B12</f>
        <v>849.91020833333334</v>
      </c>
      <c r="C13" s="3">
        <f t="shared" ref="C13:M13" si="6">C10*C12</f>
        <v>1202.9420322048611</v>
      </c>
      <c r="D13" s="3">
        <f t="shared" si="6"/>
        <v>1558.768691348705</v>
      </c>
      <c r="E13" s="3">
        <f t="shared" si="6"/>
        <v>1687.0815150163269</v>
      </c>
      <c r="F13" s="3">
        <f t="shared" si="6"/>
        <v>1816.4101485379838</v>
      </c>
      <c r="G13" s="3">
        <f t="shared" si="6"/>
        <v>1946.7626337416868</v>
      </c>
      <c r="H13" s="3">
        <f t="shared" si="6"/>
        <v>2078.1470761199193</v>
      </c>
      <c r="I13" s="3">
        <f t="shared" si="6"/>
        <v>2210.5716453336463</v>
      </c>
      <c r="J13" s="3">
        <f t="shared" si="6"/>
        <v>2344.0445757203156</v>
      </c>
      <c r="K13" s="3">
        <f t="shared" si="6"/>
        <v>2478.574166805879</v>
      </c>
      <c r="L13" s="3">
        <f t="shared" si="6"/>
        <v>2614.1687838208695</v>
      </c>
      <c r="M13" s="3">
        <f t="shared" si="6"/>
        <v>2751.2013880816735</v>
      </c>
      <c r="P13" s="11">
        <f>P10*P12</f>
        <v>2746.3333333333339</v>
      </c>
      <c r="Z13" s="65"/>
    </row>
    <row r="14" spans="1:26" x14ac:dyDescent="0.25">
      <c r="A14" s="2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Z14" s="65"/>
    </row>
    <row r="15" spans="1:26" ht="17.25" x14ac:dyDescent="0.25">
      <c r="A15" s="67" t="s">
        <v>378</v>
      </c>
      <c r="B15" s="68">
        <v>100000</v>
      </c>
      <c r="C15" s="68">
        <f>B99</f>
        <v>96990.276173333332</v>
      </c>
      <c r="D15" s="68">
        <f t="shared" ref="D15:M15" si="7">C99</f>
        <v>98525.294599999994</v>
      </c>
      <c r="E15" s="68">
        <f t="shared" si="7"/>
        <v>104605.05528</v>
      </c>
      <c r="F15" s="68">
        <f t="shared" si="7"/>
        <v>119652.55821333334</v>
      </c>
      <c r="G15" s="68">
        <f t="shared" si="7"/>
        <v>146061.91678</v>
      </c>
      <c r="H15" s="68">
        <f t="shared" si="7"/>
        <v>189286.821684</v>
      </c>
      <c r="I15" s="68">
        <f t="shared" si="7"/>
        <v>232511.72658799999</v>
      </c>
      <c r="J15" s="68">
        <f t="shared" si="7"/>
        <v>275736.63149200001</v>
      </c>
      <c r="K15" s="68">
        <f t="shared" si="7"/>
        <v>318961.53639600001</v>
      </c>
      <c r="L15" s="68">
        <f t="shared" si="7"/>
        <v>362186.44130000001</v>
      </c>
      <c r="M15" s="68">
        <f t="shared" si="7"/>
        <v>405411.346204</v>
      </c>
      <c r="Z15" s="65"/>
    </row>
    <row r="16" spans="1:26" x14ac:dyDescent="0.25">
      <c r="A16" s="26" t="s">
        <v>18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69"/>
      <c r="M16" s="69"/>
      <c r="Z16" s="65"/>
    </row>
    <row r="17" spans="1:26" x14ac:dyDescent="0.25">
      <c r="A17" s="33" t="s">
        <v>19</v>
      </c>
      <c r="B17" s="70">
        <f>$P$17/12</f>
        <v>3564.2829444444455</v>
      </c>
      <c r="C17" s="70">
        <f t="shared" ref="C17:M17" si="8">$P$17/12</f>
        <v>3564.2829444444455</v>
      </c>
      <c r="D17" s="70">
        <f t="shared" si="8"/>
        <v>3564.2829444444455</v>
      </c>
      <c r="E17" s="70">
        <f t="shared" si="8"/>
        <v>3564.2829444444455</v>
      </c>
      <c r="F17" s="70">
        <f t="shared" si="8"/>
        <v>3564.2829444444455</v>
      </c>
      <c r="G17" s="70">
        <f t="shared" si="8"/>
        <v>3564.2829444444455</v>
      </c>
      <c r="H17" s="70">
        <f t="shared" si="8"/>
        <v>3564.2829444444455</v>
      </c>
      <c r="I17" s="70">
        <f t="shared" si="8"/>
        <v>3564.2829444444455</v>
      </c>
      <c r="J17" s="70">
        <f t="shared" si="8"/>
        <v>3564.2829444444455</v>
      </c>
      <c r="K17" s="70">
        <f t="shared" si="8"/>
        <v>3564.2829444444455</v>
      </c>
      <c r="L17" s="70">
        <f t="shared" si="8"/>
        <v>3564.2829444444455</v>
      </c>
      <c r="M17" s="70">
        <f t="shared" si="8"/>
        <v>3564.2829444444455</v>
      </c>
      <c r="P17" s="8">
        <f>(T17*52*P13*P18)</f>
        <v>42771.395333333348</v>
      </c>
      <c r="T17">
        <v>5.99</v>
      </c>
      <c r="Z17" s="65"/>
    </row>
    <row r="18" spans="1:26" ht="17.25" x14ac:dyDescent="0.25">
      <c r="A18" s="71" t="s">
        <v>379</v>
      </c>
      <c r="B18" s="72">
        <v>0.02</v>
      </c>
      <c r="C18" s="72">
        <v>0.03</v>
      </c>
      <c r="D18" s="72">
        <v>0.04</v>
      </c>
      <c r="E18" s="72">
        <v>0.05</v>
      </c>
      <c r="F18" s="72">
        <v>7.4999999999999997E-2</v>
      </c>
      <c r="G18" s="72">
        <v>0.112</v>
      </c>
      <c r="H18" s="72">
        <v>0.112</v>
      </c>
      <c r="I18" s="72">
        <v>0.112</v>
      </c>
      <c r="J18" s="72">
        <v>0.112</v>
      </c>
      <c r="K18" s="72">
        <v>0.112</v>
      </c>
      <c r="L18" s="72">
        <v>0.112</v>
      </c>
      <c r="M18" s="72">
        <v>0.113</v>
      </c>
      <c r="P18" s="55">
        <v>0.05</v>
      </c>
      <c r="Z18" s="65"/>
    </row>
    <row r="19" spans="1:26" x14ac:dyDescent="0.25">
      <c r="A19" s="33" t="s">
        <v>380</v>
      </c>
      <c r="B19" s="70">
        <f>$P$17*B18</f>
        <v>855.42790666666701</v>
      </c>
      <c r="C19" s="70">
        <f t="shared" ref="C19:M19" si="9">$P$17*C18</f>
        <v>1283.1418600000004</v>
      </c>
      <c r="D19" s="70">
        <f t="shared" si="9"/>
        <v>1710.855813333334</v>
      </c>
      <c r="E19" s="70">
        <f t="shared" si="9"/>
        <v>2138.5697666666674</v>
      </c>
      <c r="F19" s="70">
        <f t="shared" si="9"/>
        <v>3207.8546500000011</v>
      </c>
      <c r="G19" s="70">
        <f t="shared" si="9"/>
        <v>4790.3962773333351</v>
      </c>
      <c r="H19" s="70">
        <f t="shared" si="9"/>
        <v>4790.3962773333351</v>
      </c>
      <c r="I19" s="70">
        <f t="shared" si="9"/>
        <v>4790.3962773333351</v>
      </c>
      <c r="J19" s="70">
        <f t="shared" si="9"/>
        <v>4790.3962773333351</v>
      </c>
      <c r="K19" s="70">
        <f t="shared" si="9"/>
        <v>4790.3962773333351</v>
      </c>
      <c r="L19" s="70">
        <f t="shared" si="9"/>
        <v>4790.3962773333351</v>
      </c>
      <c r="M19" s="70">
        <f t="shared" si="9"/>
        <v>4833.1676726666683</v>
      </c>
      <c r="P19" s="55"/>
      <c r="Z19" s="65"/>
    </row>
    <row r="20" spans="1:26" x14ac:dyDescent="0.25">
      <c r="A20" s="33" t="s">
        <v>20</v>
      </c>
      <c r="B20" s="70">
        <f>$P$20/12</f>
        <v>24973.782166666671</v>
      </c>
      <c r="C20" s="70">
        <f t="shared" ref="C20:M20" si="10">$P$20/12</f>
        <v>24973.782166666671</v>
      </c>
      <c r="D20" s="70">
        <f t="shared" si="10"/>
        <v>24973.782166666671</v>
      </c>
      <c r="E20" s="70">
        <f t="shared" si="10"/>
        <v>24973.782166666671</v>
      </c>
      <c r="F20" s="70">
        <f t="shared" si="10"/>
        <v>24973.782166666671</v>
      </c>
      <c r="G20" s="70">
        <f t="shared" si="10"/>
        <v>24973.782166666671</v>
      </c>
      <c r="H20" s="70">
        <f t="shared" si="10"/>
        <v>24973.782166666671</v>
      </c>
      <c r="I20" s="70">
        <f t="shared" si="10"/>
        <v>24973.782166666671</v>
      </c>
      <c r="J20" s="70">
        <f t="shared" si="10"/>
        <v>24973.782166666671</v>
      </c>
      <c r="K20" s="70">
        <f t="shared" si="10"/>
        <v>24973.782166666671</v>
      </c>
      <c r="L20" s="70">
        <f t="shared" si="10"/>
        <v>24973.782166666671</v>
      </c>
      <c r="M20" s="70">
        <f t="shared" si="10"/>
        <v>24973.782166666671</v>
      </c>
      <c r="P20" s="8">
        <f>T20*12*P13*P21</f>
        <v>299685.38600000006</v>
      </c>
      <c r="T20">
        <v>13.99</v>
      </c>
    </row>
    <row r="21" spans="1:26" x14ac:dyDescent="0.25">
      <c r="A21" s="71" t="s">
        <v>381</v>
      </c>
      <c r="B21" s="72">
        <v>0.02</v>
      </c>
      <c r="C21" s="72">
        <v>0.03</v>
      </c>
      <c r="D21" s="72">
        <v>0.04</v>
      </c>
      <c r="E21" s="72">
        <v>0.05</v>
      </c>
      <c r="F21" s="72">
        <v>7.4999999999999997E-2</v>
      </c>
      <c r="G21" s="72">
        <v>0.112</v>
      </c>
      <c r="H21" s="72">
        <v>0.112</v>
      </c>
      <c r="I21" s="72">
        <v>0.112</v>
      </c>
      <c r="J21" s="72">
        <v>0.112</v>
      </c>
      <c r="K21" s="72">
        <v>0.112</v>
      </c>
      <c r="L21" s="72">
        <v>0.112</v>
      </c>
      <c r="M21" s="72">
        <v>0.113</v>
      </c>
      <c r="P21" s="55">
        <v>0.65</v>
      </c>
    </row>
    <row r="22" spans="1:26" x14ac:dyDescent="0.25">
      <c r="A22" s="33" t="s">
        <v>380</v>
      </c>
      <c r="B22" s="70">
        <f>$P$20*B21</f>
        <v>5993.7077200000012</v>
      </c>
      <c r="C22" s="70">
        <f t="shared" ref="C22:M22" si="11">$P$20*C21</f>
        <v>8990.5615800000014</v>
      </c>
      <c r="D22" s="70">
        <f t="shared" si="11"/>
        <v>11987.415440000002</v>
      </c>
      <c r="E22" s="70">
        <f t="shared" si="11"/>
        <v>14984.269300000004</v>
      </c>
      <c r="F22" s="70">
        <f t="shared" si="11"/>
        <v>22476.403950000004</v>
      </c>
      <c r="G22" s="70">
        <f t="shared" si="11"/>
        <v>33564.763232000005</v>
      </c>
      <c r="H22" s="70">
        <f t="shared" si="11"/>
        <v>33564.763232000005</v>
      </c>
      <c r="I22" s="70">
        <f t="shared" si="11"/>
        <v>33564.763232000005</v>
      </c>
      <c r="J22" s="70">
        <f t="shared" si="11"/>
        <v>33564.763232000005</v>
      </c>
      <c r="K22" s="70">
        <f t="shared" si="11"/>
        <v>33564.763232000005</v>
      </c>
      <c r="L22" s="70">
        <f t="shared" si="11"/>
        <v>33564.763232000005</v>
      </c>
      <c r="M22" s="70">
        <f t="shared" si="11"/>
        <v>33864.448618000009</v>
      </c>
      <c r="P22" s="55"/>
    </row>
    <row r="23" spans="1:26" x14ac:dyDescent="0.25">
      <c r="A23" s="33" t="s">
        <v>382</v>
      </c>
      <c r="B23" s="70">
        <f>$P$23/12</f>
        <v>9334.7870000000021</v>
      </c>
      <c r="C23" s="70">
        <f t="shared" ref="C23:M23" si="12">$P$23/12</f>
        <v>9334.7870000000021</v>
      </c>
      <c r="D23" s="70">
        <f t="shared" si="12"/>
        <v>9334.7870000000021</v>
      </c>
      <c r="E23" s="70">
        <f t="shared" si="12"/>
        <v>9334.7870000000021</v>
      </c>
      <c r="F23" s="70">
        <f t="shared" si="12"/>
        <v>9334.7870000000021</v>
      </c>
      <c r="G23" s="70">
        <f t="shared" si="12"/>
        <v>9334.7870000000021</v>
      </c>
      <c r="H23" s="70">
        <f t="shared" si="12"/>
        <v>9334.7870000000021</v>
      </c>
      <c r="I23" s="70">
        <f t="shared" si="12"/>
        <v>9334.7870000000021</v>
      </c>
      <c r="J23" s="70">
        <f t="shared" si="12"/>
        <v>9334.7870000000021</v>
      </c>
      <c r="K23" s="70">
        <f t="shared" si="12"/>
        <v>9334.7870000000021</v>
      </c>
      <c r="L23" s="70">
        <f t="shared" si="12"/>
        <v>9334.7870000000021</v>
      </c>
      <c r="M23" s="70">
        <f t="shared" si="12"/>
        <v>9334.7870000000021</v>
      </c>
      <c r="P23" s="8">
        <f>T23*1*P13*P24</f>
        <v>112017.44400000003</v>
      </c>
      <c r="T23">
        <v>135.96</v>
      </c>
    </row>
    <row r="24" spans="1:26" x14ac:dyDescent="0.25">
      <c r="A24" s="71" t="s">
        <v>381</v>
      </c>
      <c r="B24" s="72">
        <v>0.02</v>
      </c>
      <c r="C24" s="72">
        <v>0.03</v>
      </c>
      <c r="D24" s="72">
        <v>0.04</v>
      </c>
      <c r="E24" s="72">
        <v>0.05</v>
      </c>
      <c r="F24" s="72">
        <v>7.4999999999999997E-2</v>
      </c>
      <c r="G24" s="72">
        <v>0.112</v>
      </c>
      <c r="H24" s="72">
        <v>0.112</v>
      </c>
      <c r="I24" s="72">
        <v>0.112</v>
      </c>
      <c r="J24" s="72">
        <v>0.112</v>
      </c>
      <c r="K24" s="72">
        <v>0.112</v>
      </c>
      <c r="L24" s="72">
        <v>0.112</v>
      </c>
      <c r="M24" s="72">
        <v>0.113</v>
      </c>
      <c r="P24" s="55">
        <v>0.3</v>
      </c>
    </row>
    <row r="25" spans="1:26" x14ac:dyDescent="0.25">
      <c r="A25" s="33" t="s">
        <v>380</v>
      </c>
      <c r="B25" s="70">
        <f>$P$23*B24</f>
        <v>2240.3488800000009</v>
      </c>
      <c r="C25" s="70">
        <f t="shared" ref="C25:M25" si="13">$P$23*C24</f>
        <v>3360.5233200000007</v>
      </c>
      <c r="D25" s="70">
        <f t="shared" si="13"/>
        <v>4480.6977600000018</v>
      </c>
      <c r="E25" s="70">
        <f t="shared" si="13"/>
        <v>5600.8722000000016</v>
      </c>
      <c r="F25" s="70">
        <f t="shared" si="13"/>
        <v>8401.3083000000024</v>
      </c>
      <c r="G25" s="70">
        <f t="shared" si="13"/>
        <v>12545.953728000004</v>
      </c>
      <c r="H25" s="70">
        <f t="shared" si="13"/>
        <v>12545.953728000004</v>
      </c>
      <c r="I25" s="70">
        <f t="shared" si="13"/>
        <v>12545.953728000004</v>
      </c>
      <c r="J25" s="70">
        <f t="shared" si="13"/>
        <v>12545.953728000004</v>
      </c>
      <c r="K25" s="70">
        <f t="shared" si="13"/>
        <v>12545.953728000004</v>
      </c>
      <c r="L25" s="70">
        <f t="shared" si="13"/>
        <v>12545.953728000004</v>
      </c>
      <c r="M25" s="70">
        <f t="shared" si="13"/>
        <v>12657.971172000003</v>
      </c>
      <c r="P25" s="55"/>
    </row>
    <row r="26" spans="1:26" ht="15" customHeight="1" x14ac:dyDescent="0.25">
      <c r="A26" s="29" t="s">
        <v>383</v>
      </c>
      <c r="B26" s="50">
        <f>SUM(B25+B22+B19)</f>
        <v>9089.4845066666694</v>
      </c>
      <c r="C26" s="50">
        <f t="shared" ref="C26:M26" si="14">SUM(C25+C22+C19)</f>
        <v>13634.226760000001</v>
      </c>
      <c r="D26" s="50">
        <f t="shared" si="14"/>
        <v>18178.969013333339</v>
      </c>
      <c r="E26" s="50">
        <f t="shared" si="14"/>
        <v>22723.711266666673</v>
      </c>
      <c r="F26" s="50">
        <f t="shared" si="14"/>
        <v>34085.566900000005</v>
      </c>
      <c r="G26" s="50">
        <f t="shared" si="14"/>
        <v>50901.113237333338</v>
      </c>
      <c r="H26" s="50">
        <f t="shared" si="14"/>
        <v>50901.113237333338</v>
      </c>
      <c r="I26" s="50">
        <f t="shared" si="14"/>
        <v>50901.113237333338</v>
      </c>
      <c r="J26" s="50">
        <f t="shared" si="14"/>
        <v>50901.113237333338</v>
      </c>
      <c r="K26" s="50">
        <f t="shared" si="14"/>
        <v>50901.113237333338</v>
      </c>
      <c r="L26" s="50">
        <f t="shared" si="14"/>
        <v>50901.113237333338</v>
      </c>
      <c r="M26" s="50">
        <f t="shared" si="14"/>
        <v>51355.587462666685</v>
      </c>
      <c r="P26" s="8">
        <f>SUM(P17,P20,P23)</f>
        <v>454474.22533333342</v>
      </c>
      <c r="T26" s="44"/>
      <c r="U26" s="44"/>
      <c r="V26" s="44"/>
    </row>
    <row r="27" spans="1:26" x14ac:dyDescent="0.25">
      <c r="A27" s="29" t="s">
        <v>21</v>
      </c>
      <c r="B27" s="6">
        <f>B26/B13</f>
        <v>10.694640936824458</v>
      </c>
      <c r="C27" s="6">
        <f t="shared" ref="C27:M27" si="15">C26/C13</f>
        <v>11.334067972510658</v>
      </c>
      <c r="D27" s="6">
        <f t="shared" si="15"/>
        <v>11.662390394564708</v>
      </c>
      <c r="E27" s="6">
        <f t="shared" si="15"/>
        <v>13.469243225302462</v>
      </c>
      <c r="F27" s="6">
        <f t="shared" si="15"/>
        <v>18.765347092690078</v>
      </c>
      <c r="G27" s="6">
        <f t="shared" si="15"/>
        <v>26.146543166128662</v>
      </c>
      <c r="H27" s="6">
        <f t="shared" si="15"/>
        <v>24.493508578983796</v>
      </c>
      <c r="I27" s="6">
        <f t="shared" si="15"/>
        <v>23.026221902729024</v>
      </c>
      <c r="J27" s="6">
        <f t="shared" si="15"/>
        <v>21.715079040974135</v>
      </c>
      <c r="K27" s="6">
        <f t="shared" si="15"/>
        <v>20.536449511587236</v>
      </c>
      <c r="L27" s="6">
        <f t="shared" si="15"/>
        <v>19.471242083663881</v>
      </c>
      <c r="M27" s="6">
        <f t="shared" si="15"/>
        <v>18.666604227935245</v>
      </c>
      <c r="P27" s="8">
        <f>P26/P13</f>
        <v>165.48400000000001</v>
      </c>
      <c r="T27" s="44"/>
      <c r="U27" s="44"/>
      <c r="V27" s="44"/>
    </row>
    <row r="28" spans="1:26" x14ac:dyDescent="0.25">
      <c r="A28" s="29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4"/>
      <c r="O28" s="44"/>
      <c r="Q28" s="44"/>
      <c r="R28" s="44"/>
      <c r="S28" s="44"/>
      <c r="T28" s="44"/>
      <c r="U28" s="44"/>
      <c r="V28" s="44"/>
    </row>
    <row r="29" spans="1:26" x14ac:dyDescent="0.25">
      <c r="A29" s="33" t="s">
        <v>22</v>
      </c>
      <c r="B29" s="6">
        <f>1.5/12</f>
        <v>0.125</v>
      </c>
      <c r="C29" s="6">
        <f t="shared" ref="C29:M29" si="16">1.5/12</f>
        <v>0.125</v>
      </c>
      <c r="D29" s="6">
        <f t="shared" si="16"/>
        <v>0.125</v>
      </c>
      <c r="E29" s="6">
        <f t="shared" si="16"/>
        <v>0.125</v>
      </c>
      <c r="F29" s="6">
        <f t="shared" si="16"/>
        <v>0.125</v>
      </c>
      <c r="G29" s="6">
        <f t="shared" si="16"/>
        <v>0.125</v>
      </c>
      <c r="H29" s="6">
        <f t="shared" si="16"/>
        <v>0.125</v>
      </c>
      <c r="I29" s="6">
        <f t="shared" si="16"/>
        <v>0.125</v>
      </c>
      <c r="J29" s="6">
        <f t="shared" si="16"/>
        <v>0.125</v>
      </c>
      <c r="K29" s="6">
        <f t="shared" si="16"/>
        <v>0.125</v>
      </c>
      <c r="L29" s="6">
        <f t="shared" si="16"/>
        <v>0.125</v>
      </c>
      <c r="M29" s="6">
        <f t="shared" si="16"/>
        <v>0.125</v>
      </c>
      <c r="N29" s="44"/>
      <c r="O29" s="44"/>
      <c r="P29" s="8">
        <v>1.5</v>
      </c>
      <c r="Q29" s="44"/>
      <c r="R29" s="44"/>
      <c r="S29" s="44"/>
      <c r="T29" s="44"/>
      <c r="U29" s="44"/>
      <c r="V29" s="44"/>
    </row>
    <row r="30" spans="1:26" x14ac:dyDescent="0.25">
      <c r="A30" s="33" t="s">
        <v>23</v>
      </c>
      <c r="B30" s="73">
        <f>$P$30/12</f>
        <v>3089.625</v>
      </c>
      <c r="C30" s="73">
        <f t="shared" ref="C30:M30" si="17">$P$30/12</f>
        <v>3089.625</v>
      </c>
      <c r="D30" s="73">
        <f t="shared" si="17"/>
        <v>3089.625</v>
      </c>
      <c r="E30" s="73">
        <f t="shared" si="17"/>
        <v>3089.625</v>
      </c>
      <c r="F30" s="73">
        <f t="shared" si="17"/>
        <v>3089.625</v>
      </c>
      <c r="G30" s="73">
        <f t="shared" si="17"/>
        <v>3089.625</v>
      </c>
      <c r="H30" s="73">
        <f t="shared" si="17"/>
        <v>3089.625</v>
      </c>
      <c r="I30" s="73">
        <f t="shared" si="17"/>
        <v>3089.625</v>
      </c>
      <c r="J30" s="73">
        <f t="shared" si="17"/>
        <v>3089.625</v>
      </c>
      <c r="K30" s="73">
        <f t="shared" si="17"/>
        <v>3089.625</v>
      </c>
      <c r="L30" s="73">
        <f t="shared" si="17"/>
        <v>3089.625</v>
      </c>
      <c r="M30" s="73">
        <f t="shared" si="17"/>
        <v>3089.625</v>
      </c>
      <c r="P30" s="11">
        <f>P29*P11</f>
        <v>37075.5</v>
      </c>
    </row>
    <row r="31" spans="1:26" x14ac:dyDescent="0.25">
      <c r="A31" s="29" t="s">
        <v>24</v>
      </c>
      <c r="B31" s="74">
        <f>B26+B30</f>
        <v>12179.109506666669</v>
      </c>
      <c r="C31" s="74">
        <f t="shared" ref="C31:M31" si="18">C26+C30</f>
        <v>16723.851760000001</v>
      </c>
      <c r="D31" s="74">
        <f t="shared" si="18"/>
        <v>21268.594013333339</v>
      </c>
      <c r="E31" s="74">
        <f t="shared" si="18"/>
        <v>25813.336266666673</v>
      </c>
      <c r="F31" s="74">
        <f t="shared" si="18"/>
        <v>37175.191900000005</v>
      </c>
      <c r="G31" s="74">
        <f t="shared" si="18"/>
        <v>53990.738237333338</v>
      </c>
      <c r="H31" s="74">
        <f t="shared" si="18"/>
        <v>53990.738237333338</v>
      </c>
      <c r="I31" s="74">
        <f t="shared" si="18"/>
        <v>53990.738237333338</v>
      </c>
      <c r="J31" s="74">
        <f t="shared" si="18"/>
        <v>53990.738237333338</v>
      </c>
      <c r="K31" s="74">
        <f t="shared" si="18"/>
        <v>53990.738237333338</v>
      </c>
      <c r="L31" s="74">
        <f t="shared" si="18"/>
        <v>53990.738237333338</v>
      </c>
      <c r="M31" s="74">
        <f t="shared" si="18"/>
        <v>54445.212462666685</v>
      </c>
      <c r="P31" s="11">
        <f>P26+P30</f>
        <v>491549.72533333342</v>
      </c>
    </row>
    <row r="32" spans="1:26" x14ac:dyDescent="0.25">
      <c r="A32" s="29" t="s">
        <v>384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27" x14ac:dyDescent="0.25">
      <c r="A33" s="33" t="s">
        <v>385</v>
      </c>
      <c r="B33" s="36">
        <v>0.5</v>
      </c>
      <c r="C33" s="36">
        <v>0.5</v>
      </c>
      <c r="D33" s="36">
        <v>0.5</v>
      </c>
      <c r="E33" s="36">
        <v>0.5</v>
      </c>
      <c r="F33" s="36">
        <v>0.5</v>
      </c>
      <c r="G33" s="36">
        <v>0.5</v>
      </c>
      <c r="H33" s="36">
        <v>0.5</v>
      </c>
      <c r="I33" s="36">
        <v>0.5</v>
      </c>
      <c r="J33" s="36">
        <v>0.5</v>
      </c>
      <c r="K33" s="36">
        <v>0.5</v>
      </c>
      <c r="L33" s="36">
        <v>0.5</v>
      </c>
      <c r="M33" s="36">
        <v>0.5</v>
      </c>
      <c r="P33" s="55">
        <v>0.5</v>
      </c>
    </row>
    <row r="34" spans="1:27" x14ac:dyDescent="0.25">
      <c r="A34" s="33" t="s">
        <v>386</v>
      </c>
      <c r="B34" s="36">
        <v>0.2</v>
      </c>
      <c r="C34" s="36">
        <v>0.2</v>
      </c>
      <c r="D34" s="36">
        <v>0.2</v>
      </c>
      <c r="E34" s="36">
        <v>0.2</v>
      </c>
      <c r="F34" s="36">
        <v>0.2</v>
      </c>
      <c r="G34" s="36">
        <v>0.2</v>
      </c>
      <c r="H34" s="36">
        <v>0.2</v>
      </c>
      <c r="I34" s="36">
        <v>0.2</v>
      </c>
      <c r="J34" s="36">
        <v>0.2</v>
      </c>
      <c r="K34" s="36">
        <v>0.2</v>
      </c>
      <c r="L34" s="36">
        <v>0.2</v>
      </c>
      <c r="M34" s="36">
        <v>0.2</v>
      </c>
      <c r="P34" s="55">
        <v>0.2</v>
      </c>
    </row>
    <row r="35" spans="1:27" x14ac:dyDescent="0.25">
      <c r="A35" s="33" t="s">
        <v>387</v>
      </c>
      <c r="B35" s="36">
        <v>0.3</v>
      </c>
      <c r="C35" s="36">
        <v>0.3</v>
      </c>
      <c r="D35" s="36">
        <v>0.3</v>
      </c>
      <c r="E35" s="36">
        <v>0.3</v>
      </c>
      <c r="F35" s="36">
        <v>0.3</v>
      </c>
      <c r="G35" s="36">
        <v>0.3</v>
      </c>
      <c r="H35" s="36">
        <v>0.3</v>
      </c>
      <c r="I35" s="36">
        <v>0.3</v>
      </c>
      <c r="J35" s="36">
        <v>0.3</v>
      </c>
      <c r="K35" s="36">
        <v>0.3</v>
      </c>
      <c r="L35" s="36">
        <v>0.3</v>
      </c>
      <c r="M35" s="36">
        <v>0.3</v>
      </c>
      <c r="P35" s="55">
        <v>0.3</v>
      </c>
      <c r="Z35" s="15"/>
      <c r="AA35" s="11"/>
    </row>
    <row r="36" spans="1:27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Z36" s="15"/>
      <c r="AA36" s="11"/>
    </row>
    <row r="37" spans="1:27" x14ac:dyDescent="0.25">
      <c r="A37" s="67" t="s">
        <v>388</v>
      </c>
      <c r="B37" s="75">
        <f>B31</f>
        <v>12179.109506666669</v>
      </c>
      <c r="C37" s="75">
        <f>C31</f>
        <v>16723.851760000001</v>
      </c>
      <c r="D37" s="75">
        <f t="shared" ref="D37:M37" si="19">D31</f>
        <v>21268.594013333339</v>
      </c>
      <c r="E37" s="75">
        <f t="shared" si="19"/>
        <v>25813.336266666673</v>
      </c>
      <c r="F37" s="75">
        <f t="shared" si="19"/>
        <v>37175.191900000005</v>
      </c>
      <c r="G37" s="75">
        <f t="shared" si="19"/>
        <v>53990.738237333338</v>
      </c>
      <c r="H37" s="75">
        <f t="shared" si="19"/>
        <v>53990.738237333338</v>
      </c>
      <c r="I37" s="75">
        <f t="shared" si="19"/>
        <v>53990.738237333338</v>
      </c>
      <c r="J37" s="75">
        <f t="shared" si="19"/>
        <v>53990.738237333338</v>
      </c>
      <c r="K37" s="75">
        <f t="shared" si="19"/>
        <v>53990.738237333338</v>
      </c>
      <c r="L37" s="75">
        <f t="shared" si="19"/>
        <v>53990.738237333338</v>
      </c>
      <c r="M37" s="75">
        <f t="shared" si="19"/>
        <v>54445.212462666685</v>
      </c>
      <c r="P37" s="36"/>
      <c r="Z37" s="15"/>
      <c r="AA37" s="11"/>
    </row>
    <row r="38" spans="1:27" x14ac:dyDescent="0.25">
      <c r="A38" s="26" t="s">
        <v>25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P38" s="27"/>
      <c r="Z38" s="15"/>
      <c r="AA38" s="11"/>
    </row>
    <row r="39" spans="1:27" x14ac:dyDescent="0.25">
      <c r="A39" s="29" t="s">
        <v>389</v>
      </c>
      <c r="B39" s="37">
        <f>$R$58*6650</f>
        <v>6650</v>
      </c>
      <c r="C39" s="37">
        <f>$R$58*6650</f>
        <v>6650</v>
      </c>
      <c r="D39" s="37">
        <f>$R$58*6650</f>
        <v>6650</v>
      </c>
      <c r="E39" s="37">
        <f t="shared" ref="E39:L39" si="20">$R$58*2227</f>
        <v>2227</v>
      </c>
      <c r="F39" s="37">
        <f t="shared" si="20"/>
        <v>2227</v>
      </c>
      <c r="G39" s="37">
        <f t="shared" si="20"/>
        <v>2227</v>
      </c>
      <c r="H39" s="37">
        <f t="shared" si="20"/>
        <v>2227</v>
      </c>
      <c r="I39" s="37">
        <f t="shared" si="20"/>
        <v>2227</v>
      </c>
      <c r="J39" s="37">
        <f t="shared" si="20"/>
        <v>2227</v>
      </c>
      <c r="K39" s="37">
        <f t="shared" si="20"/>
        <v>2227</v>
      </c>
      <c r="L39" s="37">
        <f t="shared" si="20"/>
        <v>2227</v>
      </c>
      <c r="M39" s="37">
        <f>$R$58*2234</f>
        <v>2234</v>
      </c>
      <c r="P39" s="37">
        <f>R58*40000</f>
        <v>40000</v>
      </c>
      <c r="Z39" s="15"/>
      <c r="AA39" s="11"/>
    </row>
    <row r="40" spans="1:27" x14ac:dyDescent="0.25">
      <c r="A40" s="33" t="s">
        <v>26</v>
      </c>
      <c r="B40" s="30">
        <f>B39*$A$44</f>
        <v>1662.5</v>
      </c>
      <c r="C40" s="30">
        <f t="shared" ref="C40:M40" si="21">C39*$A$44</f>
        <v>1662.5</v>
      </c>
      <c r="D40" s="30">
        <f t="shared" si="21"/>
        <v>1662.5</v>
      </c>
      <c r="E40" s="30">
        <f t="shared" si="21"/>
        <v>556.75</v>
      </c>
      <c r="F40" s="30">
        <f t="shared" si="21"/>
        <v>556.75</v>
      </c>
      <c r="G40" s="30">
        <f t="shared" si="21"/>
        <v>556.75</v>
      </c>
      <c r="H40" s="30">
        <f t="shared" si="21"/>
        <v>556.75</v>
      </c>
      <c r="I40" s="30">
        <f t="shared" si="21"/>
        <v>556.75</v>
      </c>
      <c r="J40" s="30">
        <f t="shared" si="21"/>
        <v>556.75</v>
      </c>
      <c r="K40" s="30">
        <f t="shared" si="21"/>
        <v>556.75</v>
      </c>
      <c r="L40" s="30">
        <f t="shared" si="21"/>
        <v>556.75</v>
      </c>
      <c r="M40" s="30">
        <f t="shared" si="21"/>
        <v>558.5</v>
      </c>
      <c r="P40" s="30">
        <f>P39*$A$44</f>
        <v>10000</v>
      </c>
      <c r="Z40" s="15"/>
      <c r="AA40" s="11"/>
    </row>
    <row r="41" spans="1:27" x14ac:dyDescent="0.25">
      <c r="A41" s="33" t="s">
        <v>27</v>
      </c>
      <c r="B41" s="30">
        <f>B39*$A$45</f>
        <v>3325</v>
      </c>
      <c r="C41" s="30">
        <f t="shared" ref="C41:M41" si="22">C39*$A$45</f>
        <v>3325</v>
      </c>
      <c r="D41" s="30">
        <f t="shared" si="22"/>
        <v>3325</v>
      </c>
      <c r="E41" s="30">
        <f t="shared" si="22"/>
        <v>1113.5</v>
      </c>
      <c r="F41" s="30">
        <f t="shared" si="22"/>
        <v>1113.5</v>
      </c>
      <c r="G41" s="30">
        <f t="shared" si="22"/>
        <v>1113.5</v>
      </c>
      <c r="H41" s="30">
        <f t="shared" si="22"/>
        <v>1113.5</v>
      </c>
      <c r="I41" s="30">
        <f t="shared" si="22"/>
        <v>1113.5</v>
      </c>
      <c r="J41" s="30">
        <f t="shared" si="22"/>
        <v>1113.5</v>
      </c>
      <c r="K41" s="30">
        <f t="shared" si="22"/>
        <v>1113.5</v>
      </c>
      <c r="L41" s="30">
        <f t="shared" si="22"/>
        <v>1113.5</v>
      </c>
      <c r="M41" s="30">
        <f t="shared" si="22"/>
        <v>1117</v>
      </c>
      <c r="P41" s="30">
        <f>P39*$A$45</f>
        <v>20000</v>
      </c>
      <c r="Z41" s="15"/>
      <c r="AA41" s="11"/>
    </row>
    <row r="42" spans="1:27" x14ac:dyDescent="0.25">
      <c r="A42" s="33" t="s">
        <v>28</v>
      </c>
      <c r="B42" s="30">
        <f>B39*$A$46</f>
        <v>1662.5</v>
      </c>
      <c r="C42" s="30">
        <f t="shared" ref="C42:M42" si="23">C39*$A$46</f>
        <v>1662.5</v>
      </c>
      <c r="D42" s="30">
        <f t="shared" si="23"/>
        <v>1662.5</v>
      </c>
      <c r="E42" s="30">
        <f t="shared" si="23"/>
        <v>556.75</v>
      </c>
      <c r="F42" s="30">
        <f t="shared" si="23"/>
        <v>556.75</v>
      </c>
      <c r="G42" s="30">
        <f t="shared" si="23"/>
        <v>556.75</v>
      </c>
      <c r="H42" s="30">
        <f t="shared" si="23"/>
        <v>556.75</v>
      </c>
      <c r="I42" s="30">
        <f t="shared" si="23"/>
        <v>556.75</v>
      </c>
      <c r="J42" s="30">
        <f t="shared" si="23"/>
        <v>556.75</v>
      </c>
      <c r="K42" s="30">
        <f t="shared" si="23"/>
        <v>556.75</v>
      </c>
      <c r="L42" s="30">
        <f t="shared" si="23"/>
        <v>556.75</v>
      </c>
      <c r="M42" s="30">
        <f t="shared" si="23"/>
        <v>558.5</v>
      </c>
      <c r="P42" s="30">
        <f>P39*$A$46</f>
        <v>10000</v>
      </c>
      <c r="Z42" s="15"/>
      <c r="AA42" s="11"/>
    </row>
    <row r="43" spans="1:27" hidden="1" x14ac:dyDescent="0.25">
      <c r="A43" s="31" t="s">
        <v>29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P43" s="3"/>
      <c r="Z43" s="15"/>
      <c r="AA43" s="11"/>
    </row>
    <row r="44" spans="1:27" hidden="1" x14ac:dyDescent="0.25">
      <c r="A44" s="39">
        <v>0.25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P44" s="3"/>
      <c r="Z44" s="15"/>
      <c r="AA44" s="11"/>
    </row>
    <row r="45" spans="1:27" hidden="1" x14ac:dyDescent="0.25">
      <c r="A45" s="39">
        <v>0.5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P45" s="3"/>
    </row>
    <row r="46" spans="1:27" hidden="1" x14ac:dyDescent="0.25">
      <c r="A46" s="39">
        <v>0.25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P46" s="3"/>
    </row>
    <row r="47" spans="1:27" x14ac:dyDescent="0.25">
      <c r="A47" s="3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O47" s="5"/>
      <c r="P47" s="3"/>
    </row>
    <row r="48" spans="1:27" x14ac:dyDescent="0.25">
      <c r="A48" s="29" t="s">
        <v>390</v>
      </c>
    </row>
    <row r="49" spans="1:18" x14ac:dyDescent="0.25">
      <c r="A49" s="33" t="s">
        <v>31</v>
      </c>
      <c r="B49" s="6">
        <v>2.5</v>
      </c>
      <c r="C49" s="6">
        <v>2.5</v>
      </c>
      <c r="D49" s="6">
        <v>2.5</v>
      </c>
      <c r="E49" s="6">
        <v>2.5</v>
      </c>
      <c r="F49" s="6">
        <v>2.5</v>
      </c>
      <c r="G49" s="6">
        <v>2.5</v>
      </c>
      <c r="H49" s="6">
        <v>2.5</v>
      </c>
      <c r="I49" s="6">
        <v>2.5</v>
      </c>
      <c r="J49" s="6">
        <v>2.5</v>
      </c>
      <c r="K49" s="6">
        <v>2.5</v>
      </c>
      <c r="L49" s="6">
        <v>2.5</v>
      </c>
      <c r="M49" s="6">
        <v>2.5</v>
      </c>
      <c r="P49" s="6">
        <v>2.5</v>
      </c>
      <c r="Q49" s="8"/>
    </row>
    <row r="50" spans="1:18" x14ac:dyDescent="0.25">
      <c r="A50" s="33" t="s">
        <v>32</v>
      </c>
      <c r="B50" s="6">
        <v>2</v>
      </c>
      <c r="C50" s="6">
        <v>2</v>
      </c>
      <c r="D50" s="6">
        <v>2</v>
      </c>
      <c r="E50" s="6">
        <v>2</v>
      </c>
      <c r="F50" s="6">
        <v>2</v>
      </c>
      <c r="G50" s="6">
        <v>2</v>
      </c>
      <c r="H50" s="6">
        <v>2</v>
      </c>
      <c r="I50" s="6">
        <v>2</v>
      </c>
      <c r="J50" s="6">
        <v>2</v>
      </c>
      <c r="K50" s="6">
        <v>2</v>
      </c>
      <c r="L50" s="6">
        <v>2</v>
      </c>
      <c r="M50" s="6">
        <v>2</v>
      </c>
      <c r="P50" s="6">
        <v>2</v>
      </c>
    </row>
    <row r="51" spans="1:18" x14ac:dyDescent="0.25">
      <c r="A51" s="33" t="s">
        <v>33</v>
      </c>
      <c r="B51" s="6">
        <v>1.5</v>
      </c>
      <c r="C51" s="6">
        <v>1.5</v>
      </c>
      <c r="D51" s="6">
        <v>1.5</v>
      </c>
      <c r="E51" s="6">
        <v>1.5</v>
      </c>
      <c r="F51" s="6">
        <v>1.5</v>
      </c>
      <c r="G51" s="6">
        <v>1.5</v>
      </c>
      <c r="H51" s="6">
        <v>1.5</v>
      </c>
      <c r="I51" s="6">
        <v>1.5</v>
      </c>
      <c r="J51" s="6">
        <v>1.5</v>
      </c>
      <c r="K51" s="6">
        <v>1.5</v>
      </c>
      <c r="L51" s="6">
        <v>1.5</v>
      </c>
      <c r="M51" s="6">
        <v>1.5</v>
      </c>
      <c r="P51" s="6">
        <v>1.5</v>
      </c>
    </row>
    <row r="52" spans="1:18" x14ac:dyDescent="0.25">
      <c r="A52" s="31" t="s">
        <v>34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P52" s="9"/>
    </row>
    <row r="53" spans="1:18" x14ac:dyDescent="0.25">
      <c r="A53" s="33" t="s">
        <v>31</v>
      </c>
      <c r="B53" s="3">
        <f>B40/B49</f>
        <v>665</v>
      </c>
      <c r="C53" s="3">
        <f t="shared" ref="C53:M55" si="24">C40/C49</f>
        <v>665</v>
      </c>
      <c r="D53" s="3">
        <f t="shared" si="24"/>
        <v>665</v>
      </c>
      <c r="E53" s="3">
        <f t="shared" si="24"/>
        <v>222.7</v>
      </c>
      <c r="F53" s="3">
        <f t="shared" si="24"/>
        <v>222.7</v>
      </c>
      <c r="G53" s="3">
        <f t="shared" si="24"/>
        <v>222.7</v>
      </c>
      <c r="H53" s="3">
        <f t="shared" si="24"/>
        <v>222.7</v>
      </c>
      <c r="I53" s="3">
        <f t="shared" si="24"/>
        <v>222.7</v>
      </c>
      <c r="J53" s="3">
        <f t="shared" si="24"/>
        <v>222.7</v>
      </c>
      <c r="K53" s="3">
        <f t="shared" si="24"/>
        <v>222.7</v>
      </c>
      <c r="L53" s="3">
        <f t="shared" si="24"/>
        <v>222.7</v>
      </c>
      <c r="M53" s="3">
        <f t="shared" si="24"/>
        <v>223.4</v>
      </c>
      <c r="O53" s="5"/>
      <c r="P53" s="3">
        <f>P40/P49</f>
        <v>4000</v>
      </c>
    </row>
    <row r="54" spans="1:18" x14ac:dyDescent="0.25">
      <c r="A54" s="33" t="s">
        <v>32</v>
      </c>
      <c r="B54" s="3">
        <f>B41/B50</f>
        <v>1662.5</v>
      </c>
      <c r="C54" s="3">
        <f>C41/C50</f>
        <v>1662.5</v>
      </c>
      <c r="D54" s="3">
        <f t="shared" si="24"/>
        <v>1662.5</v>
      </c>
      <c r="E54" s="3">
        <f>E41/E50</f>
        <v>556.75</v>
      </c>
      <c r="F54" s="3">
        <f t="shared" si="24"/>
        <v>556.75</v>
      </c>
      <c r="G54" s="3">
        <f t="shared" si="24"/>
        <v>556.75</v>
      </c>
      <c r="H54" s="3">
        <f t="shared" si="24"/>
        <v>556.75</v>
      </c>
      <c r="I54" s="3">
        <f t="shared" si="24"/>
        <v>556.75</v>
      </c>
      <c r="J54" s="3">
        <f t="shared" si="24"/>
        <v>556.75</v>
      </c>
      <c r="K54" s="3">
        <f t="shared" si="24"/>
        <v>556.75</v>
      </c>
      <c r="L54" s="3">
        <f t="shared" si="24"/>
        <v>556.75</v>
      </c>
      <c r="M54" s="3">
        <f t="shared" si="24"/>
        <v>558.5</v>
      </c>
      <c r="P54" s="3">
        <f>P41/P50</f>
        <v>10000</v>
      </c>
    </row>
    <row r="55" spans="1:18" x14ac:dyDescent="0.25">
      <c r="A55" s="33" t="s">
        <v>33</v>
      </c>
      <c r="B55" s="3">
        <f>B42/B51</f>
        <v>1108.3333333333333</v>
      </c>
      <c r="C55" s="3">
        <f t="shared" ref="C55:K55" si="25">C42/C51</f>
        <v>1108.3333333333333</v>
      </c>
      <c r="D55" s="3">
        <f t="shared" si="25"/>
        <v>1108.3333333333333</v>
      </c>
      <c r="E55" s="3">
        <f t="shared" si="25"/>
        <v>371.16666666666669</v>
      </c>
      <c r="F55" s="3">
        <f t="shared" si="25"/>
        <v>371.16666666666669</v>
      </c>
      <c r="G55" s="3">
        <f t="shared" si="25"/>
        <v>371.16666666666669</v>
      </c>
      <c r="H55" s="3">
        <f t="shared" si="25"/>
        <v>371.16666666666669</v>
      </c>
      <c r="I55" s="3">
        <f t="shared" si="25"/>
        <v>371.16666666666669</v>
      </c>
      <c r="J55" s="3">
        <f t="shared" si="25"/>
        <v>371.16666666666669</v>
      </c>
      <c r="K55" s="3">
        <f t="shared" si="25"/>
        <v>371.16666666666669</v>
      </c>
      <c r="L55" s="3">
        <f t="shared" si="24"/>
        <v>371.16666666666669</v>
      </c>
      <c r="M55" s="3">
        <f t="shared" si="24"/>
        <v>372.33333333333331</v>
      </c>
      <c r="P55" s="3">
        <f>P42/P51</f>
        <v>6666.666666666667</v>
      </c>
    </row>
    <row r="56" spans="1:18" x14ac:dyDescent="0.25">
      <c r="A56" s="7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P56" s="3"/>
    </row>
    <row r="57" spans="1:18" x14ac:dyDescent="0.25">
      <c r="A57" s="26" t="s">
        <v>35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P57" s="28"/>
    </row>
    <row r="58" spans="1:18" x14ac:dyDescent="0.25">
      <c r="A58" s="29" t="s">
        <v>36</v>
      </c>
      <c r="B58" s="37">
        <f t="shared" ref="B58:M58" si="26">SUM(B40:B42)</f>
        <v>6650</v>
      </c>
      <c r="C58" s="37">
        <f t="shared" si="26"/>
        <v>6650</v>
      </c>
      <c r="D58" s="37">
        <f t="shared" si="26"/>
        <v>6650</v>
      </c>
      <c r="E58" s="37">
        <f t="shared" si="26"/>
        <v>2227</v>
      </c>
      <c r="F58" s="37">
        <f t="shared" si="26"/>
        <v>2227</v>
      </c>
      <c r="G58" s="37">
        <f t="shared" si="26"/>
        <v>2227</v>
      </c>
      <c r="H58" s="37">
        <f t="shared" si="26"/>
        <v>2227</v>
      </c>
      <c r="I58" s="37">
        <f t="shared" si="26"/>
        <v>2227</v>
      </c>
      <c r="J58" s="37">
        <f t="shared" si="26"/>
        <v>2227</v>
      </c>
      <c r="K58" s="37">
        <f t="shared" si="26"/>
        <v>2227</v>
      </c>
      <c r="L58" s="37">
        <f t="shared" si="26"/>
        <v>2227</v>
      </c>
      <c r="M58" s="37">
        <f t="shared" si="26"/>
        <v>2234</v>
      </c>
      <c r="P58" s="37">
        <f>SUM(P40:P42)</f>
        <v>40000</v>
      </c>
      <c r="R58">
        <v>1</v>
      </c>
    </row>
    <row r="59" spans="1:18" x14ac:dyDescent="0.25">
      <c r="A59" s="29"/>
      <c r="B59" s="38"/>
      <c r="C59" s="38"/>
      <c r="D59" s="38"/>
      <c r="E59" s="38"/>
      <c r="F59" s="38"/>
      <c r="G59" s="38"/>
      <c r="H59" s="38"/>
      <c r="I59" s="38"/>
      <c r="J59" s="38"/>
      <c r="K59" s="38"/>
      <c r="P59" s="38"/>
    </row>
    <row r="60" spans="1:18" x14ac:dyDescent="0.25">
      <c r="A60" s="29" t="s">
        <v>37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P60" s="38"/>
    </row>
    <row r="61" spans="1:18" x14ac:dyDescent="0.25">
      <c r="A61" s="33" t="s">
        <v>359</v>
      </c>
      <c r="B61" s="58">
        <f>$P$61/12</f>
        <v>4166.666666666667</v>
      </c>
      <c r="C61" s="58">
        <f t="shared" ref="C61:M61" si="27">$P$61/12</f>
        <v>4166.666666666667</v>
      </c>
      <c r="D61" s="58">
        <f t="shared" si="27"/>
        <v>4166.666666666667</v>
      </c>
      <c r="E61" s="58">
        <f t="shared" si="27"/>
        <v>4166.666666666667</v>
      </c>
      <c r="F61" s="58">
        <f t="shared" si="27"/>
        <v>4166.666666666667</v>
      </c>
      <c r="G61" s="58">
        <f t="shared" si="27"/>
        <v>4166.666666666667</v>
      </c>
      <c r="H61" s="58">
        <f t="shared" si="27"/>
        <v>4166.666666666667</v>
      </c>
      <c r="I61" s="58">
        <f t="shared" si="27"/>
        <v>4166.666666666667</v>
      </c>
      <c r="J61" s="58">
        <f t="shared" si="27"/>
        <v>4166.666666666667</v>
      </c>
      <c r="K61" s="58">
        <f t="shared" si="27"/>
        <v>4166.666666666667</v>
      </c>
      <c r="L61" s="58">
        <f t="shared" si="27"/>
        <v>4166.666666666667</v>
      </c>
      <c r="M61" s="58">
        <f t="shared" si="27"/>
        <v>4166.666666666667</v>
      </c>
      <c r="P61" s="30">
        <v>50000</v>
      </c>
    </row>
    <row r="62" spans="1:18" x14ac:dyDescent="0.25">
      <c r="A62" s="40" t="s">
        <v>391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P62" s="3"/>
    </row>
    <row r="63" spans="1:18" x14ac:dyDescent="0.25">
      <c r="A63" s="33" t="s">
        <v>38</v>
      </c>
      <c r="B63" s="30">
        <f>$P$63/12</f>
        <v>0</v>
      </c>
      <c r="C63" s="30">
        <f t="shared" ref="C63:M63" si="28">$P$63/12</f>
        <v>0</v>
      </c>
      <c r="D63" s="30">
        <f t="shared" si="28"/>
        <v>0</v>
      </c>
      <c r="E63" s="30">
        <f t="shared" si="28"/>
        <v>0</v>
      </c>
      <c r="F63" s="30">
        <f t="shared" si="28"/>
        <v>0</v>
      </c>
      <c r="G63" s="30">
        <f t="shared" si="28"/>
        <v>0</v>
      </c>
      <c r="H63" s="30">
        <f t="shared" si="28"/>
        <v>0</v>
      </c>
      <c r="I63" s="30">
        <f t="shared" si="28"/>
        <v>0</v>
      </c>
      <c r="J63" s="30">
        <f t="shared" si="28"/>
        <v>0</v>
      </c>
      <c r="K63" s="30">
        <f t="shared" si="28"/>
        <v>0</v>
      </c>
      <c r="L63" s="30">
        <f t="shared" si="28"/>
        <v>0</v>
      </c>
      <c r="M63" s="30">
        <f t="shared" si="28"/>
        <v>0</v>
      </c>
      <c r="P63" s="30">
        <f>20000*P62</f>
        <v>0</v>
      </c>
    </row>
    <row r="64" spans="1:18" x14ac:dyDescent="0.25">
      <c r="A64" s="41" t="s">
        <v>392</v>
      </c>
      <c r="B64" s="3">
        <v>1</v>
      </c>
      <c r="C64" s="3">
        <v>1</v>
      </c>
      <c r="D64" s="3">
        <v>1</v>
      </c>
      <c r="E64" s="3">
        <v>1</v>
      </c>
      <c r="F64" s="3">
        <v>1</v>
      </c>
      <c r="G64" s="3">
        <v>1</v>
      </c>
      <c r="H64" s="3">
        <v>1</v>
      </c>
      <c r="I64" s="3">
        <v>1</v>
      </c>
      <c r="J64" s="3">
        <v>1</v>
      </c>
      <c r="K64" s="3">
        <v>1</v>
      </c>
      <c r="L64" s="3">
        <v>1</v>
      </c>
      <c r="M64" s="3">
        <v>1</v>
      </c>
      <c r="P64" s="3">
        <v>1</v>
      </c>
    </row>
    <row r="65" spans="1:16" x14ac:dyDescent="0.25">
      <c r="A65" s="33" t="s">
        <v>39</v>
      </c>
      <c r="B65" s="30">
        <f>$P$65/12</f>
        <v>2500</v>
      </c>
      <c r="C65" s="30">
        <f t="shared" ref="C65:M65" si="29">$P$65/12</f>
        <v>2500</v>
      </c>
      <c r="D65" s="30">
        <f t="shared" si="29"/>
        <v>2500</v>
      </c>
      <c r="E65" s="30">
        <f t="shared" si="29"/>
        <v>2500</v>
      </c>
      <c r="F65" s="30">
        <f t="shared" si="29"/>
        <v>2500</v>
      </c>
      <c r="G65" s="30">
        <f t="shared" si="29"/>
        <v>2500</v>
      </c>
      <c r="H65" s="30">
        <f t="shared" si="29"/>
        <v>2500</v>
      </c>
      <c r="I65" s="30">
        <f t="shared" si="29"/>
        <v>2500</v>
      </c>
      <c r="J65" s="30">
        <f t="shared" si="29"/>
        <v>2500</v>
      </c>
      <c r="K65" s="30">
        <f t="shared" si="29"/>
        <v>2500</v>
      </c>
      <c r="L65" s="30">
        <f t="shared" si="29"/>
        <v>2500</v>
      </c>
      <c r="M65" s="30">
        <f t="shared" si="29"/>
        <v>2500</v>
      </c>
      <c r="P65" s="30">
        <f>30000*P64</f>
        <v>30000</v>
      </c>
    </row>
    <row r="66" spans="1:16" x14ac:dyDescent="0.25">
      <c r="A66" s="31" t="s">
        <v>40</v>
      </c>
      <c r="B66" s="37">
        <f>SUM(B65,B63,B61)</f>
        <v>6666.666666666667</v>
      </c>
      <c r="C66" s="37">
        <f t="shared" ref="C66:M66" si="30">SUM(C65,C63,C61)</f>
        <v>6666.666666666667</v>
      </c>
      <c r="D66" s="37">
        <f t="shared" si="30"/>
        <v>6666.666666666667</v>
      </c>
      <c r="E66" s="37">
        <f t="shared" si="30"/>
        <v>6666.666666666667</v>
      </c>
      <c r="F66" s="37">
        <f t="shared" si="30"/>
        <v>6666.666666666667</v>
      </c>
      <c r="G66" s="37">
        <f t="shared" si="30"/>
        <v>6666.666666666667</v>
      </c>
      <c r="H66" s="37">
        <f t="shared" si="30"/>
        <v>6666.666666666667</v>
      </c>
      <c r="I66" s="37">
        <f t="shared" si="30"/>
        <v>6666.666666666667</v>
      </c>
      <c r="J66" s="37">
        <f t="shared" si="30"/>
        <v>6666.666666666667</v>
      </c>
      <c r="K66" s="37">
        <f t="shared" si="30"/>
        <v>6666.666666666667</v>
      </c>
      <c r="L66" s="37">
        <f t="shared" si="30"/>
        <v>6666.666666666667</v>
      </c>
      <c r="M66" s="37">
        <f t="shared" si="30"/>
        <v>6666.666666666667</v>
      </c>
      <c r="P66" s="37">
        <f>SUM(P65,P63)</f>
        <v>30000</v>
      </c>
    </row>
    <row r="67" spans="1:16" x14ac:dyDescent="0.25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  <c r="P67" s="3"/>
    </row>
    <row r="68" spans="1:16" x14ac:dyDescent="0.25">
      <c r="A68" s="29" t="s">
        <v>393</v>
      </c>
      <c r="B68" s="3"/>
      <c r="C68" s="3"/>
      <c r="D68" s="3"/>
      <c r="E68" s="3"/>
      <c r="F68" s="3"/>
      <c r="G68" s="3"/>
      <c r="H68" s="3"/>
      <c r="I68" s="3"/>
      <c r="J68" s="3"/>
      <c r="K68" s="3"/>
      <c r="P68" s="3"/>
    </row>
    <row r="69" spans="1:16" x14ac:dyDescent="0.25">
      <c r="A69" s="33" t="s">
        <v>41</v>
      </c>
      <c r="B69" s="30">
        <f>$P$69/12</f>
        <v>416.66666666666669</v>
      </c>
      <c r="C69" s="30">
        <f t="shared" ref="C69:M69" si="31">$P$69/12</f>
        <v>416.66666666666669</v>
      </c>
      <c r="D69" s="30">
        <f t="shared" si="31"/>
        <v>416.66666666666669</v>
      </c>
      <c r="E69" s="30">
        <f t="shared" si="31"/>
        <v>416.66666666666669</v>
      </c>
      <c r="F69" s="30">
        <f t="shared" si="31"/>
        <v>416.66666666666669</v>
      </c>
      <c r="G69" s="30">
        <f t="shared" si="31"/>
        <v>416.66666666666669</v>
      </c>
      <c r="H69" s="30">
        <f t="shared" si="31"/>
        <v>416.66666666666669</v>
      </c>
      <c r="I69" s="30">
        <f t="shared" si="31"/>
        <v>416.66666666666669</v>
      </c>
      <c r="J69" s="30">
        <f t="shared" si="31"/>
        <v>416.66666666666669</v>
      </c>
      <c r="K69" s="30">
        <f t="shared" si="31"/>
        <v>416.66666666666669</v>
      </c>
      <c r="L69" s="30">
        <f t="shared" si="31"/>
        <v>416.66666666666669</v>
      </c>
      <c r="M69" s="30">
        <f t="shared" si="31"/>
        <v>416.66666666666669</v>
      </c>
      <c r="P69" s="30">
        <v>5000</v>
      </c>
    </row>
    <row r="70" spans="1:16" x14ac:dyDescent="0.25">
      <c r="A70" s="33" t="s">
        <v>42</v>
      </c>
      <c r="B70" s="30">
        <f>$P$70/12</f>
        <v>166.66666666666666</v>
      </c>
      <c r="C70" s="30">
        <f t="shared" ref="C70:L70" si="32">$P$70/12</f>
        <v>166.66666666666666</v>
      </c>
      <c r="D70" s="30">
        <f t="shared" si="32"/>
        <v>166.66666666666666</v>
      </c>
      <c r="E70" s="30">
        <f t="shared" si="32"/>
        <v>166.66666666666666</v>
      </c>
      <c r="F70" s="30">
        <f t="shared" si="32"/>
        <v>166.66666666666666</v>
      </c>
      <c r="G70" s="30">
        <f t="shared" si="32"/>
        <v>166.66666666666666</v>
      </c>
      <c r="H70" s="30">
        <f t="shared" si="32"/>
        <v>166.66666666666666</v>
      </c>
      <c r="I70" s="30">
        <f t="shared" si="32"/>
        <v>166.66666666666666</v>
      </c>
      <c r="J70" s="30">
        <f t="shared" si="32"/>
        <v>166.66666666666666</v>
      </c>
      <c r="K70" s="30">
        <f t="shared" si="32"/>
        <v>166.66666666666666</v>
      </c>
      <c r="L70" s="30">
        <f t="shared" si="32"/>
        <v>166.66666666666666</v>
      </c>
      <c r="M70" s="30">
        <f>$P$70/12</f>
        <v>166.66666666666666</v>
      </c>
      <c r="P70" s="30">
        <v>2000</v>
      </c>
    </row>
    <row r="71" spans="1:16" x14ac:dyDescent="0.25">
      <c r="A71" s="4"/>
      <c r="B71" s="30"/>
      <c r="C71" s="30"/>
      <c r="D71" s="30"/>
      <c r="E71" s="30"/>
      <c r="F71" s="30"/>
      <c r="G71" s="30"/>
      <c r="H71" s="30"/>
      <c r="I71" s="30"/>
      <c r="J71" s="30"/>
      <c r="K71" s="30"/>
      <c r="P71" s="30"/>
    </row>
    <row r="72" spans="1:16" x14ac:dyDescent="0.25">
      <c r="A72" s="29" t="s">
        <v>43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P72" s="30"/>
    </row>
    <row r="73" spans="1:16" x14ac:dyDescent="0.25">
      <c r="A73" s="33" t="s">
        <v>44</v>
      </c>
      <c r="B73" s="30">
        <f>$P$73/12</f>
        <v>8.25</v>
      </c>
      <c r="C73" s="30">
        <f t="shared" ref="C73:M73" si="33">$P$73/12</f>
        <v>8.25</v>
      </c>
      <c r="D73" s="30">
        <f t="shared" si="33"/>
        <v>8.25</v>
      </c>
      <c r="E73" s="30">
        <f t="shared" si="33"/>
        <v>8.25</v>
      </c>
      <c r="F73" s="30">
        <f t="shared" si="33"/>
        <v>8.25</v>
      </c>
      <c r="G73" s="30">
        <f t="shared" si="33"/>
        <v>8.25</v>
      </c>
      <c r="H73" s="30">
        <f t="shared" si="33"/>
        <v>8.25</v>
      </c>
      <c r="I73" s="30">
        <f t="shared" si="33"/>
        <v>8.25</v>
      </c>
      <c r="J73" s="30">
        <f t="shared" si="33"/>
        <v>8.25</v>
      </c>
      <c r="K73" s="30">
        <f t="shared" si="33"/>
        <v>8.25</v>
      </c>
      <c r="L73" s="30">
        <f t="shared" si="33"/>
        <v>8.25</v>
      </c>
      <c r="M73" s="30">
        <f t="shared" si="33"/>
        <v>8.25</v>
      </c>
      <c r="P73" s="30">
        <v>99</v>
      </c>
    </row>
    <row r="74" spans="1:16" x14ac:dyDescent="0.25">
      <c r="A74" s="33" t="s">
        <v>45</v>
      </c>
      <c r="B74" s="30">
        <f>$P$74/12</f>
        <v>21</v>
      </c>
      <c r="C74" s="30">
        <f t="shared" ref="C74:M74" si="34">$P$74/12</f>
        <v>21</v>
      </c>
      <c r="D74" s="30">
        <f t="shared" si="34"/>
        <v>21</v>
      </c>
      <c r="E74" s="30">
        <f t="shared" si="34"/>
        <v>21</v>
      </c>
      <c r="F74" s="30">
        <f t="shared" si="34"/>
        <v>21</v>
      </c>
      <c r="G74" s="30">
        <f t="shared" si="34"/>
        <v>21</v>
      </c>
      <c r="H74" s="30">
        <f t="shared" si="34"/>
        <v>21</v>
      </c>
      <c r="I74" s="30">
        <f t="shared" si="34"/>
        <v>21</v>
      </c>
      <c r="J74" s="30">
        <f t="shared" si="34"/>
        <v>21</v>
      </c>
      <c r="K74" s="30">
        <f t="shared" si="34"/>
        <v>21</v>
      </c>
      <c r="L74" s="30">
        <f t="shared" si="34"/>
        <v>21</v>
      </c>
      <c r="M74" s="30">
        <f t="shared" si="34"/>
        <v>21</v>
      </c>
      <c r="P74" s="30">
        <v>252</v>
      </c>
    </row>
    <row r="75" spans="1:16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P75" s="4"/>
    </row>
    <row r="76" spans="1:16" x14ac:dyDescent="0.25">
      <c r="A76" s="31" t="s">
        <v>394</v>
      </c>
      <c r="B76" s="32"/>
      <c r="C76" s="32"/>
      <c r="D76" s="32"/>
      <c r="E76" s="32"/>
      <c r="F76" s="32"/>
      <c r="G76" s="32"/>
      <c r="H76" s="32"/>
      <c r="I76" s="32"/>
      <c r="J76" s="32"/>
      <c r="K76" s="32"/>
      <c r="O76" s="5"/>
      <c r="P76" s="32"/>
    </row>
    <row r="77" spans="1:16" x14ac:dyDescent="0.25">
      <c r="A77" s="33" t="s">
        <v>46</v>
      </c>
      <c r="B77" s="30">
        <f>$P$77/12</f>
        <v>49.083333333333336</v>
      </c>
      <c r="C77" s="30">
        <f t="shared" ref="C77:M77" si="35">$P$77/12</f>
        <v>49.083333333333336</v>
      </c>
      <c r="D77" s="30">
        <f t="shared" si="35"/>
        <v>49.083333333333336</v>
      </c>
      <c r="E77" s="30">
        <f t="shared" si="35"/>
        <v>49.083333333333336</v>
      </c>
      <c r="F77" s="30">
        <f t="shared" si="35"/>
        <v>49.083333333333336</v>
      </c>
      <c r="G77" s="30">
        <f t="shared" si="35"/>
        <v>49.083333333333336</v>
      </c>
      <c r="H77" s="30">
        <f t="shared" si="35"/>
        <v>49.083333333333336</v>
      </c>
      <c r="I77" s="30">
        <f t="shared" si="35"/>
        <v>49.083333333333336</v>
      </c>
      <c r="J77" s="30">
        <f t="shared" si="35"/>
        <v>49.083333333333336</v>
      </c>
      <c r="K77" s="30">
        <f t="shared" si="35"/>
        <v>49.083333333333336</v>
      </c>
      <c r="L77" s="30">
        <f t="shared" si="35"/>
        <v>49.083333333333336</v>
      </c>
      <c r="M77" s="30">
        <f t="shared" si="35"/>
        <v>49.083333333333336</v>
      </c>
      <c r="O77" s="5"/>
      <c r="P77" s="30">
        <v>589</v>
      </c>
    </row>
    <row r="78" spans="1:16" x14ac:dyDescent="0.25">
      <c r="A78" s="33" t="s">
        <v>47</v>
      </c>
      <c r="B78" s="30">
        <f>$P$78/12</f>
        <v>33.416666666666664</v>
      </c>
      <c r="C78" s="30">
        <f t="shared" ref="C78:M78" si="36">$P$78/12</f>
        <v>33.416666666666664</v>
      </c>
      <c r="D78" s="30">
        <f t="shared" si="36"/>
        <v>33.416666666666664</v>
      </c>
      <c r="E78" s="30">
        <f t="shared" si="36"/>
        <v>33.416666666666664</v>
      </c>
      <c r="F78" s="30">
        <f t="shared" si="36"/>
        <v>33.416666666666664</v>
      </c>
      <c r="G78" s="30">
        <f t="shared" si="36"/>
        <v>33.416666666666664</v>
      </c>
      <c r="H78" s="30">
        <f t="shared" si="36"/>
        <v>33.416666666666664</v>
      </c>
      <c r="I78" s="30">
        <f t="shared" si="36"/>
        <v>33.416666666666664</v>
      </c>
      <c r="J78" s="30">
        <f t="shared" si="36"/>
        <v>33.416666666666664</v>
      </c>
      <c r="K78" s="30">
        <f t="shared" si="36"/>
        <v>33.416666666666664</v>
      </c>
      <c r="L78" s="30">
        <f t="shared" si="36"/>
        <v>33.416666666666664</v>
      </c>
      <c r="M78" s="30">
        <f t="shared" si="36"/>
        <v>33.416666666666664</v>
      </c>
      <c r="O78" s="5"/>
      <c r="P78" s="30">
        <v>401</v>
      </c>
    </row>
    <row r="79" spans="1:16" x14ac:dyDescent="0.25">
      <c r="A79" s="33" t="s">
        <v>48</v>
      </c>
      <c r="B79" s="30">
        <f>$P$79/12</f>
        <v>15</v>
      </c>
      <c r="C79" s="30">
        <f t="shared" ref="C79:M79" si="37">$P$79/12</f>
        <v>15</v>
      </c>
      <c r="D79" s="30">
        <f t="shared" si="37"/>
        <v>15</v>
      </c>
      <c r="E79" s="30">
        <f t="shared" si="37"/>
        <v>15</v>
      </c>
      <c r="F79" s="30">
        <f t="shared" si="37"/>
        <v>15</v>
      </c>
      <c r="G79" s="30">
        <f t="shared" si="37"/>
        <v>15</v>
      </c>
      <c r="H79" s="30">
        <f t="shared" si="37"/>
        <v>15</v>
      </c>
      <c r="I79" s="30">
        <f t="shared" si="37"/>
        <v>15</v>
      </c>
      <c r="J79" s="30">
        <f t="shared" si="37"/>
        <v>15</v>
      </c>
      <c r="K79" s="30">
        <f t="shared" si="37"/>
        <v>15</v>
      </c>
      <c r="L79" s="30">
        <f t="shared" si="37"/>
        <v>15</v>
      </c>
      <c r="M79" s="30">
        <f t="shared" si="37"/>
        <v>15</v>
      </c>
      <c r="O79" s="5"/>
      <c r="P79" s="30">
        <v>180</v>
      </c>
    </row>
    <row r="80" spans="1:16" x14ac:dyDescent="0.25">
      <c r="A80" s="33" t="s">
        <v>49</v>
      </c>
      <c r="B80" s="30">
        <f>$P$80/12</f>
        <v>21.416666666666668</v>
      </c>
      <c r="C80" s="30">
        <f t="shared" ref="C80:M80" si="38">$P$80/12</f>
        <v>21.416666666666668</v>
      </c>
      <c r="D80" s="30">
        <f t="shared" si="38"/>
        <v>21.416666666666668</v>
      </c>
      <c r="E80" s="30">
        <f t="shared" si="38"/>
        <v>21.416666666666668</v>
      </c>
      <c r="F80" s="30">
        <f t="shared" si="38"/>
        <v>21.416666666666668</v>
      </c>
      <c r="G80" s="30">
        <f t="shared" si="38"/>
        <v>21.416666666666668</v>
      </c>
      <c r="H80" s="30">
        <f t="shared" si="38"/>
        <v>21.416666666666668</v>
      </c>
      <c r="I80" s="30">
        <f t="shared" si="38"/>
        <v>21.416666666666668</v>
      </c>
      <c r="J80" s="30">
        <f t="shared" si="38"/>
        <v>21.416666666666668</v>
      </c>
      <c r="K80" s="30">
        <f t="shared" si="38"/>
        <v>21.416666666666668</v>
      </c>
      <c r="L80" s="30">
        <f t="shared" si="38"/>
        <v>21.416666666666668</v>
      </c>
      <c r="M80" s="30">
        <f t="shared" si="38"/>
        <v>21.416666666666668</v>
      </c>
      <c r="O80" s="5"/>
      <c r="P80" s="30">
        <v>257</v>
      </c>
    </row>
    <row r="81" spans="1:34" x14ac:dyDescent="0.25">
      <c r="A81" s="33" t="s">
        <v>50</v>
      </c>
      <c r="B81" s="30">
        <f>$P$81/12</f>
        <v>2.5833333333333335</v>
      </c>
      <c r="C81" s="30">
        <f t="shared" ref="C81:M81" si="39">$P$81/12</f>
        <v>2.5833333333333335</v>
      </c>
      <c r="D81" s="30">
        <f t="shared" si="39"/>
        <v>2.5833333333333335</v>
      </c>
      <c r="E81" s="30">
        <f t="shared" si="39"/>
        <v>2.5833333333333335</v>
      </c>
      <c r="F81" s="30">
        <f t="shared" si="39"/>
        <v>2.5833333333333335</v>
      </c>
      <c r="G81" s="30">
        <f t="shared" si="39"/>
        <v>2.5833333333333335</v>
      </c>
      <c r="H81" s="30">
        <f t="shared" si="39"/>
        <v>2.5833333333333335</v>
      </c>
      <c r="I81" s="30">
        <f t="shared" si="39"/>
        <v>2.5833333333333335</v>
      </c>
      <c r="J81" s="30">
        <f t="shared" si="39"/>
        <v>2.5833333333333335</v>
      </c>
      <c r="K81" s="30">
        <f t="shared" si="39"/>
        <v>2.5833333333333335</v>
      </c>
      <c r="L81" s="30">
        <f t="shared" si="39"/>
        <v>2.5833333333333335</v>
      </c>
      <c r="M81" s="30">
        <f t="shared" si="39"/>
        <v>2.5833333333333335</v>
      </c>
      <c r="O81" s="5"/>
      <c r="P81" s="30">
        <v>31</v>
      </c>
    </row>
    <row r="82" spans="1:34" x14ac:dyDescent="0.25">
      <c r="A82" s="33" t="s">
        <v>51</v>
      </c>
      <c r="B82" s="30">
        <f>$P$82/12</f>
        <v>6.25</v>
      </c>
      <c r="C82" s="30">
        <f t="shared" ref="C82:M82" si="40">$P$82/12</f>
        <v>6.25</v>
      </c>
      <c r="D82" s="30">
        <f t="shared" si="40"/>
        <v>6.25</v>
      </c>
      <c r="E82" s="30">
        <f t="shared" si="40"/>
        <v>6.25</v>
      </c>
      <c r="F82" s="30">
        <f t="shared" si="40"/>
        <v>6.25</v>
      </c>
      <c r="G82" s="30">
        <f t="shared" si="40"/>
        <v>6.25</v>
      </c>
      <c r="H82" s="30">
        <f t="shared" si="40"/>
        <v>6.25</v>
      </c>
      <c r="I82" s="30">
        <f t="shared" si="40"/>
        <v>6.25</v>
      </c>
      <c r="J82" s="30">
        <f t="shared" si="40"/>
        <v>6.25</v>
      </c>
      <c r="K82" s="30">
        <f t="shared" si="40"/>
        <v>6.25</v>
      </c>
      <c r="L82" s="30">
        <f t="shared" si="40"/>
        <v>6.25</v>
      </c>
      <c r="M82" s="30">
        <f t="shared" si="40"/>
        <v>6.25</v>
      </c>
      <c r="O82" s="5"/>
      <c r="P82" s="30">
        <v>75</v>
      </c>
    </row>
    <row r="83" spans="1:34" x14ac:dyDescent="0.25">
      <c r="A83" s="33" t="s">
        <v>52</v>
      </c>
      <c r="B83" s="30">
        <f>$P$83/12</f>
        <v>24.166666666666668</v>
      </c>
      <c r="C83" s="30">
        <f t="shared" ref="C83:M83" si="41">$P$83/12</f>
        <v>24.166666666666668</v>
      </c>
      <c r="D83" s="30">
        <f t="shared" si="41"/>
        <v>24.166666666666668</v>
      </c>
      <c r="E83" s="30">
        <f t="shared" si="41"/>
        <v>24.166666666666668</v>
      </c>
      <c r="F83" s="30">
        <f t="shared" si="41"/>
        <v>24.166666666666668</v>
      </c>
      <c r="G83" s="30">
        <f t="shared" si="41"/>
        <v>24.166666666666668</v>
      </c>
      <c r="H83" s="30">
        <f t="shared" si="41"/>
        <v>24.166666666666668</v>
      </c>
      <c r="I83" s="30">
        <f t="shared" si="41"/>
        <v>24.166666666666668</v>
      </c>
      <c r="J83" s="30">
        <f t="shared" si="41"/>
        <v>24.166666666666668</v>
      </c>
      <c r="K83" s="30">
        <f t="shared" si="41"/>
        <v>24.166666666666668</v>
      </c>
      <c r="L83" s="30">
        <f t="shared" si="41"/>
        <v>24.166666666666668</v>
      </c>
      <c r="M83" s="30">
        <f t="shared" si="41"/>
        <v>24.166666666666668</v>
      </c>
      <c r="O83" s="5"/>
      <c r="P83" s="30">
        <v>290</v>
      </c>
    </row>
    <row r="84" spans="1:34" x14ac:dyDescent="0.25">
      <c r="A84" s="33" t="s">
        <v>53</v>
      </c>
      <c r="B84" s="30">
        <v>0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O84" s="5"/>
      <c r="P84" s="30">
        <v>0</v>
      </c>
    </row>
    <row r="85" spans="1:34" x14ac:dyDescent="0.25">
      <c r="A85" s="33" t="s">
        <v>54</v>
      </c>
      <c r="B85" s="6">
        <f>$P$85/12</f>
        <v>0.16666666666666666</v>
      </c>
      <c r="C85" s="6">
        <f t="shared" ref="C85:M85" si="42">$P$85/12</f>
        <v>0.16666666666666666</v>
      </c>
      <c r="D85" s="6">
        <f t="shared" si="42"/>
        <v>0.16666666666666666</v>
      </c>
      <c r="E85" s="6">
        <f t="shared" si="42"/>
        <v>0.16666666666666666</v>
      </c>
      <c r="F85" s="6">
        <f t="shared" si="42"/>
        <v>0.16666666666666666</v>
      </c>
      <c r="G85" s="6">
        <f t="shared" si="42"/>
        <v>0.16666666666666666</v>
      </c>
      <c r="H85" s="6">
        <f t="shared" si="42"/>
        <v>0.16666666666666666</v>
      </c>
      <c r="I85" s="6">
        <f t="shared" si="42"/>
        <v>0.16666666666666666</v>
      </c>
      <c r="J85" s="6">
        <f t="shared" si="42"/>
        <v>0.16666666666666666</v>
      </c>
      <c r="K85" s="6">
        <f t="shared" si="42"/>
        <v>0.16666666666666666</v>
      </c>
      <c r="L85" s="6">
        <f t="shared" si="42"/>
        <v>0.16666666666666666</v>
      </c>
      <c r="M85" s="6">
        <f t="shared" si="42"/>
        <v>0.16666666666666666</v>
      </c>
      <c r="O85" s="5"/>
      <c r="P85" s="30">
        <v>2</v>
      </c>
    </row>
    <row r="86" spans="1:34" x14ac:dyDescent="0.25">
      <c r="A86" s="33" t="s">
        <v>55</v>
      </c>
      <c r="B86" s="30">
        <f>$P$86/12</f>
        <v>13.083333333333334</v>
      </c>
      <c r="C86" s="30">
        <f t="shared" ref="C86:M86" si="43">$P$86/12</f>
        <v>13.083333333333334</v>
      </c>
      <c r="D86" s="30">
        <f t="shared" si="43"/>
        <v>13.083333333333334</v>
      </c>
      <c r="E86" s="30">
        <f t="shared" si="43"/>
        <v>13.083333333333334</v>
      </c>
      <c r="F86" s="30">
        <f t="shared" si="43"/>
        <v>13.083333333333334</v>
      </c>
      <c r="G86" s="30">
        <f t="shared" si="43"/>
        <v>13.083333333333334</v>
      </c>
      <c r="H86" s="30">
        <f t="shared" si="43"/>
        <v>13.083333333333334</v>
      </c>
      <c r="I86" s="30">
        <f t="shared" si="43"/>
        <v>13.083333333333334</v>
      </c>
      <c r="J86" s="30">
        <f t="shared" si="43"/>
        <v>13.083333333333334</v>
      </c>
      <c r="K86" s="30">
        <f t="shared" si="43"/>
        <v>13.083333333333334</v>
      </c>
      <c r="L86" s="30">
        <f t="shared" si="43"/>
        <v>13.083333333333334</v>
      </c>
      <c r="M86" s="30">
        <f t="shared" si="43"/>
        <v>13.083333333333334</v>
      </c>
      <c r="O86" s="5"/>
      <c r="P86" s="30">
        <v>157</v>
      </c>
    </row>
    <row r="87" spans="1:34" x14ac:dyDescent="0.25">
      <c r="A87" s="33" t="s">
        <v>56</v>
      </c>
      <c r="B87" s="30">
        <f>$P$87/12</f>
        <v>3.5</v>
      </c>
      <c r="C87" s="30">
        <f t="shared" ref="C87:M87" si="44">$P$87/12</f>
        <v>3.5</v>
      </c>
      <c r="D87" s="30">
        <f t="shared" si="44"/>
        <v>3.5</v>
      </c>
      <c r="E87" s="30">
        <f t="shared" si="44"/>
        <v>3.5</v>
      </c>
      <c r="F87" s="30">
        <f t="shared" si="44"/>
        <v>3.5</v>
      </c>
      <c r="G87" s="30">
        <f t="shared" si="44"/>
        <v>3.5</v>
      </c>
      <c r="H87" s="30">
        <f t="shared" si="44"/>
        <v>3.5</v>
      </c>
      <c r="I87" s="30">
        <f t="shared" si="44"/>
        <v>3.5</v>
      </c>
      <c r="J87" s="30">
        <f t="shared" si="44"/>
        <v>3.5</v>
      </c>
      <c r="K87" s="30">
        <f t="shared" si="44"/>
        <v>3.5</v>
      </c>
      <c r="L87" s="30">
        <f t="shared" si="44"/>
        <v>3.5</v>
      </c>
      <c r="M87" s="30">
        <f t="shared" si="44"/>
        <v>3.5</v>
      </c>
      <c r="O87" s="5"/>
      <c r="P87" s="30">
        <v>42</v>
      </c>
    </row>
    <row r="88" spans="1:34" x14ac:dyDescent="0.25">
      <c r="A88" s="33" t="s">
        <v>57</v>
      </c>
      <c r="B88" s="30">
        <v>0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O88" s="5"/>
      <c r="P88" s="30">
        <v>0</v>
      </c>
    </row>
    <row r="89" spans="1:34" x14ac:dyDescent="0.25">
      <c r="A89" s="33" t="s">
        <v>58</v>
      </c>
      <c r="B89" s="30">
        <f>$P$89/12</f>
        <v>27.583333333333332</v>
      </c>
      <c r="C89" s="30">
        <f t="shared" ref="C89:M89" si="45">$P$89/12</f>
        <v>27.583333333333332</v>
      </c>
      <c r="D89" s="30">
        <f t="shared" si="45"/>
        <v>27.583333333333332</v>
      </c>
      <c r="E89" s="30">
        <f t="shared" si="45"/>
        <v>27.583333333333332</v>
      </c>
      <c r="F89" s="30">
        <f t="shared" si="45"/>
        <v>27.583333333333332</v>
      </c>
      <c r="G89" s="30">
        <f t="shared" si="45"/>
        <v>27.583333333333332</v>
      </c>
      <c r="H89" s="30">
        <f t="shared" si="45"/>
        <v>27.583333333333332</v>
      </c>
      <c r="I89" s="30">
        <f t="shared" si="45"/>
        <v>27.583333333333332</v>
      </c>
      <c r="J89" s="30">
        <f t="shared" si="45"/>
        <v>27.583333333333332</v>
      </c>
      <c r="K89" s="30">
        <f t="shared" si="45"/>
        <v>27.583333333333332</v>
      </c>
      <c r="L89" s="30">
        <f t="shared" si="45"/>
        <v>27.583333333333332</v>
      </c>
      <c r="M89" s="30">
        <f t="shared" si="45"/>
        <v>27.583333333333332</v>
      </c>
      <c r="O89" s="5"/>
      <c r="P89" s="30">
        <v>331</v>
      </c>
    </row>
    <row r="90" spans="1:34" x14ac:dyDescent="0.25">
      <c r="A90" s="33" t="s">
        <v>59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O90" s="5"/>
      <c r="P90" s="30">
        <v>0</v>
      </c>
    </row>
    <row r="91" spans="1:34" ht="18" x14ac:dyDescent="0.25">
      <c r="A91" s="33" t="s">
        <v>60</v>
      </c>
      <c r="B91" s="30">
        <f>$P$91/12</f>
        <v>66.666666666666671</v>
      </c>
      <c r="C91" s="30">
        <f t="shared" ref="C91:M91" si="46">$P$91/12</f>
        <v>66.666666666666671</v>
      </c>
      <c r="D91" s="30">
        <f t="shared" si="46"/>
        <v>66.666666666666671</v>
      </c>
      <c r="E91" s="30">
        <f t="shared" si="46"/>
        <v>66.666666666666671</v>
      </c>
      <c r="F91" s="30">
        <f t="shared" si="46"/>
        <v>66.666666666666671</v>
      </c>
      <c r="G91" s="30">
        <f t="shared" si="46"/>
        <v>66.666666666666671</v>
      </c>
      <c r="H91" s="30">
        <f t="shared" si="46"/>
        <v>66.666666666666671</v>
      </c>
      <c r="I91" s="30">
        <f t="shared" si="46"/>
        <v>66.666666666666671</v>
      </c>
      <c r="J91" s="30">
        <f t="shared" si="46"/>
        <v>66.666666666666671</v>
      </c>
      <c r="K91" s="30">
        <f t="shared" si="46"/>
        <v>66.666666666666671</v>
      </c>
      <c r="L91" s="30">
        <f t="shared" si="46"/>
        <v>66.666666666666671</v>
      </c>
      <c r="M91" s="30">
        <f t="shared" si="46"/>
        <v>66.666666666666671</v>
      </c>
      <c r="P91" s="30">
        <v>800</v>
      </c>
      <c r="Q91" s="10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H91" s="16"/>
    </row>
    <row r="92" spans="1:34" ht="18" customHeight="1" x14ac:dyDescent="0.25">
      <c r="A92" s="33" t="s">
        <v>395</v>
      </c>
      <c r="B92" s="30">
        <f>$P$92/12</f>
        <v>721.58333333333337</v>
      </c>
      <c r="C92" s="30">
        <f t="shared" ref="C92:M92" si="47">$P$92/12</f>
        <v>721.58333333333337</v>
      </c>
      <c r="D92" s="30">
        <f t="shared" si="47"/>
        <v>721.58333333333337</v>
      </c>
      <c r="E92" s="30">
        <f t="shared" si="47"/>
        <v>721.58333333333337</v>
      </c>
      <c r="F92" s="30">
        <f t="shared" si="47"/>
        <v>721.58333333333337</v>
      </c>
      <c r="G92" s="30">
        <f t="shared" si="47"/>
        <v>721.58333333333337</v>
      </c>
      <c r="H92" s="30">
        <f t="shared" si="47"/>
        <v>721.58333333333337</v>
      </c>
      <c r="I92" s="30">
        <f t="shared" si="47"/>
        <v>721.58333333333337</v>
      </c>
      <c r="J92" s="30">
        <f t="shared" si="47"/>
        <v>721.58333333333337</v>
      </c>
      <c r="K92" s="30">
        <f t="shared" si="47"/>
        <v>721.58333333333337</v>
      </c>
      <c r="L92" s="30">
        <f t="shared" si="47"/>
        <v>721.58333333333337</v>
      </c>
      <c r="M92" s="30">
        <f t="shared" si="47"/>
        <v>721.58333333333337</v>
      </c>
      <c r="P92" s="30">
        <v>8659</v>
      </c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H92" s="17"/>
    </row>
    <row r="93" spans="1:34" x14ac:dyDescent="0.25">
      <c r="A93" s="33" t="s">
        <v>61</v>
      </c>
      <c r="B93" s="30">
        <f>$P$93/12</f>
        <v>127.66666666666667</v>
      </c>
      <c r="C93" s="30">
        <f t="shared" ref="C93:M93" si="48">$P$93/12</f>
        <v>127.66666666666667</v>
      </c>
      <c r="D93" s="30">
        <f t="shared" si="48"/>
        <v>127.66666666666667</v>
      </c>
      <c r="E93" s="30">
        <f t="shared" si="48"/>
        <v>127.66666666666667</v>
      </c>
      <c r="F93" s="30">
        <f t="shared" si="48"/>
        <v>127.66666666666667</v>
      </c>
      <c r="G93" s="30">
        <f t="shared" si="48"/>
        <v>127.66666666666667</v>
      </c>
      <c r="H93" s="30">
        <f t="shared" si="48"/>
        <v>127.66666666666667</v>
      </c>
      <c r="I93" s="30">
        <f t="shared" si="48"/>
        <v>127.66666666666667</v>
      </c>
      <c r="J93" s="30">
        <f t="shared" si="48"/>
        <v>127.66666666666667</v>
      </c>
      <c r="K93" s="30">
        <f t="shared" si="48"/>
        <v>127.66666666666667</v>
      </c>
      <c r="L93" s="30">
        <f t="shared" si="48"/>
        <v>127.66666666666667</v>
      </c>
      <c r="M93" s="30">
        <f t="shared" si="48"/>
        <v>127.66666666666667</v>
      </c>
      <c r="P93" s="30">
        <v>1532</v>
      </c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H93" s="18"/>
    </row>
    <row r="94" spans="1:34" x14ac:dyDescent="0.25">
      <c r="A94" s="33" t="s">
        <v>62</v>
      </c>
      <c r="B94" s="30">
        <f>$P$94/12</f>
        <v>147.41666666666666</v>
      </c>
      <c r="C94" s="30">
        <f t="shared" ref="C94:M94" si="49">$P$94/12</f>
        <v>147.41666666666666</v>
      </c>
      <c r="D94" s="30">
        <f t="shared" si="49"/>
        <v>147.41666666666666</v>
      </c>
      <c r="E94" s="30">
        <f t="shared" si="49"/>
        <v>147.41666666666666</v>
      </c>
      <c r="F94" s="30">
        <f t="shared" si="49"/>
        <v>147.41666666666666</v>
      </c>
      <c r="G94" s="30">
        <f t="shared" si="49"/>
        <v>147.41666666666666</v>
      </c>
      <c r="H94" s="30">
        <f t="shared" si="49"/>
        <v>147.41666666666666</v>
      </c>
      <c r="I94" s="30">
        <f t="shared" si="49"/>
        <v>147.41666666666666</v>
      </c>
      <c r="J94" s="30">
        <f t="shared" si="49"/>
        <v>147.41666666666666</v>
      </c>
      <c r="K94" s="30">
        <f t="shared" si="49"/>
        <v>147.41666666666666</v>
      </c>
      <c r="L94" s="30">
        <f t="shared" si="49"/>
        <v>147.41666666666666</v>
      </c>
      <c r="M94" s="30">
        <f t="shared" si="49"/>
        <v>147.41666666666666</v>
      </c>
      <c r="P94" s="30">
        <v>1769</v>
      </c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H94" s="18"/>
    </row>
    <row r="95" spans="1:34" x14ac:dyDescent="0.25">
      <c r="A95" s="33" t="s">
        <v>63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P95" s="30">
        <v>0</v>
      </c>
      <c r="AH95" s="19"/>
    </row>
    <row r="96" spans="1:34" x14ac:dyDescent="0.25">
      <c r="A96" s="40"/>
      <c r="B96" s="30"/>
      <c r="C96" s="30"/>
      <c r="D96" s="30"/>
      <c r="E96" s="30"/>
      <c r="F96" s="30"/>
      <c r="G96" s="30"/>
      <c r="H96" s="30"/>
      <c r="I96" s="30"/>
      <c r="J96" s="30"/>
      <c r="K96" s="30"/>
      <c r="P96" s="30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H96" s="19"/>
    </row>
    <row r="97" spans="1:34" x14ac:dyDescent="0.25">
      <c r="A97" s="29" t="s">
        <v>396</v>
      </c>
      <c r="B97" s="75">
        <f>SUM(B66:B95,B58)</f>
        <v>15188.833333333334</v>
      </c>
      <c r="C97" s="75">
        <f t="shared" ref="C97:M97" si="50">SUM(C66:C95,C58)</f>
        <v>15188.833333333334</v>
      </c>
      <c r="D97" s="75">
        <f t="shared" si="50"/>
        <v>15188.833333333334</v>
      </c>
      <c r="E97" s="75">
        <f t="shared" si="50"/>
        <v>10765.833333333334</v>
      </c>
      <c r="F97" s="75">
        <f t="shared" si="50"/>
        <v>10765.833333333334</v>
      </c>
      <c r="G97" s="75">
        <f t="shared" si="50"/>
        <v>10765.833333333334</v>
      </c>
      <c r="H97" s="75">
        <f t="shared" si="50"/>
        <v>10765.833333333334</v>
      </c>
      <c r="I97" s="75">
        <f t="shared" si="50"/>
        <v>10765.833333333334</v>
      </c>
      <c r="J97" s="75">
        <f t="shared" si="50"/>
        <v>10765.833333333334</v>
      </c>
      <c r="K97" s="75">
        <f t="shared" si="50"/>
        <v>10765.833333333334</v>
      </c>
      <c r="L97" s="75">
        <f t="shared" si="50"/>
        <v>10765.833333333334</v>
      </c>
      <c r="M97" s="75">
        <f t="shared" si="50"/>
        <v>10772.833333333334</v>
      </c>
      <c r="P97" s="50">
        <f>SUM(P66:P95,P63,P58,P61)</f>
        <v>142466</v>
      </c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H97" s="18"/>
    </row>
    <row r="98" spans="1:34" ht="15.75" thickBot="1" x14ac:dyDescent="0.3">
      <c r="A98" s="29" t="s">
        <v>397</v>
      </c>
      <c r="B98" s="77">
        <f t="shared" ref="B98:M98" si="51">SUM(B31-B97)</f>
        <v>-3009.7238266666645</v>
      </c>
      <c r="C98" s="77">
        <f t="shared" si="51"/>
        <v>1535.0184266666674</v>
      </c>
      <c r="D98" s="77">
        <f t="shared" si="51"/>
        <v>6079.7606800000049</v>
      </c>
      <c r="E98" s="77">
        <f t="shared" si="51"/>
        <v>15047.502933333339</v>
      </c>
      <c r="F98" s="77">
        <f t="shared" si="51"/>
        <v>26409.35856666667</v>
      </c>
      <c r="G98" s="77">
        <f t="shared" si="51"/>
        <v>43224.904904000003</v>
      </c>
      <c r="H98" s="77">
        <f t="shared" si="51"/>
        <v>43224.904904000003</v>
      </c>
      <c r="I98" s="77">
        <f t="shared" si="51"/>
        <v>43224.904904000003</v>
      </c>
      <c r="J98" s="77">
        <f t="shared" si="51"/>
        <v>43224.904904000003</v>
      </c>
      <c r="K98" s="77">
        <f t="shared" si="51"/>
        <v>43224.904904000003</v>
      </c>
      <c r="L98" s="77">
        <f t="shared" si="51"/>
        <v>43224.904904000003</v>
      </c>
      <c r="M98" s="77">
        <f t="shared" si="51"/>
        <v>43672.379129333349</v>
      </c>
      <c r="P98" s="53">
        <f>SUM(P35-P97)</f>
        <v>-142465.70000000001</v>
      </c>
      <c r="AH98" s="20"/>
    </row>
    <row r="99" spans="1:34" ht="15.75" thickTop="1" x14ac:dyDescent="0.25">
      <c r="A99" s="29" t="s">
        <v>398</v>
      </c>
      <c r="B99" s="78">
        <f t="shared" ref="B99:M99" si="52">B98+B15</f>
        <v>96990.276173333332</v>
      </c>
      <c r="C99" s="78">
        <f t="shared" si="52"/>
        <v>98525.294599999994</v>
      </c>
      <c r="D99" s="78">
        <f t="shared" si="52"/>
        <v>104605.05528</v>
      </c>
      <c r="E99" s="78">
        <f t="shared" si="52"/>
        <v>119652.55821333334</v>
      </c>
      <c r="F99" s="78">
        <f t="shared" si="52"/>
        <v>146061.91678</v>
      </c>
      <c r="G99" s="78">
        <f t="shared" si="52"/>
        <v>189286.821684</v>
      </c>
      <c r="H99" s="78">
        <f t="shared" si="52"/>
        <v>232511.72658799999</v>
      </c>
      <c r="I99" s="78">
        <f t="shared" si="52"/>
        <v>275736.63149200001</v>
      </c>
      <c r="J99" s="78">
        <f t="shared" si="52"/>
        <v>318961.53639600001</v>
      </c>
      <c r="K99" s="78">
        <f t="shared" si="52"/>
        <v>362186.44130000001</v>
      </c>
      <c r="L99" s="78">
        <f t="shared" si="52"/>
        <v>405411.346204</v>
      </c>
      <c r="M99" s="78">
        <f t="shared" si="52"/>
        <v>449083.72533333336</v>
      </c>
      <c r="P99" s="42"/>
      <c r="AH99" s="21"/>
    </row>
    <row r="100" spans="1:34" x14ac:dyDescent="0.25">
      <c r="A100" s="4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P100" s="43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H100" s="21"/>
    </row>
    <row r="101" spans="1:34" x14ac:dyDescent="0.25">
      <c r="AH101" s="22"/>
    </row>
    <row r="102" spans="1:34" ht="18.75" x14ac:dyDescent="0.25">
      <c r="A102" s="45" t="s">
        <v>353</v>
      </c>
      <c r="P102" s="3"/>
    </row>
    <row r="103" spans="1:34" x14ac:dyDescent="0.25">
      <c r="A103">
        <v>1</v>
      </c>
      <c r="B103" t="s">
        <v>399</v>
      </c>
    </row>
    <row r="104" spans="1:34" x14ac:dyDescent="0.25">
      <c r="A104">
        <v>2</v>
      </c>
      <c r="B104" t="s">
        <v>400</v>
      </c>
    </row>
    <row r="105" spans="1:34" x14ac:dyDescent="0.25">
      <c r="A105">
        <v>3</v>
      </c>
      <c r="B105" t="s">
        <v>401</v>
      </c>
    </row>
    <row r="108" spans="1:34" ht="18.75" x14ac:dyDescent="0.3">
      <c r="A108" s="59" t="s">
        <v>402</v>
      </c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</row>
    <row r="109" spans="1:34" x14ac:dyDescent="0.25">
      <c r="B109" s="32" t="s">
        <v>365</v>
      </c>
      <c r="C109" s="32" t="s">
        <v>366</v>
      </c>
      <c r="D109" s="32" t="s">
        <v>367</v>
      </c>
      <c r="E109" s="32" t="s">
        <v>368</v>
      </c>
      <c r="F109" s="32" t="s">
        <v>369</v>
      </c>
      <c r="G109" s="32" t="s">
        <v>370</v>
      </c>
      <c r="H109" s="32" t="s">
        <v>371</v>
      </c>
      <c r="I109" s="32" t="s">
        <v>372</v>
      </c>
      <c r="J109" s="32" t="s">
        <v>373</v>
      </c>
      <c r="K109" s="32" t="s">
        <v>374</v>
      </c>
      <c r="L109" s="32" t="s">
        <v>375</v>
      </c>
      <c r="M109" s="32" t="s">
        <v>376</v>
      </c>
    </row>
    <row r="110" spans="1:34" x14ac:dyDescent="0.25">
      <c r="A110" s="29" t="s">
        <v>403</v>
      </c>
      <c r="B110" s="79">
        <f>B15</f>
        <v>100000</v>
      </c>
      <c r="C110" s="79">
        <f t="shared" ref="C110:M110" si="53">C15</f>
        <v>96990.276173333332</v>
      </c>
      <c r="D110" s="79">
        <f t="shared" si="53"/>
        <v>98525.294599999994</v>
      </c>
      <c r="E110" s="79">
        <f t="shared" si="53"/>
        <v>104605.05528</v>
      </c>
      <c r="F110" s="79">
        <f t="shared" si="53"/>
        <v>119652.55821333334</v>
      </c>
      <c r="G110" s="79">
        <f t="shared" si="53"/>
        <v>146061.91678</v>
      </c>
      <c r="H110" s="79">
        <f t="shared" si="53"/>
        <v>189286.821684</v>
      </c>
      <c r="I110" s="79">
        <f t="shared" si="53"/>
        <v>232511.72658799999</v>
      </c>
      <c r="J110" s="79">
        <f t="shared" si="53"/>
        <v>275736.63149200001</v>
      </c>
      <c r="K110" s="79">
        <f t="shared" si="53"/>
        <v>318961.53639600001</v>
      </c>
      <c r="L110" s="79">
        <f t="shared" si="53"/>
        <v>362186.44130000001</v>
      </c>
      <c r="M110" s="79">
        <f t="shared" si="53"/>
        <v>405411.346204</v>
      </c>
    </row>
    <row r="111" spans="1:34" x14ac:dyDescent="0.25">
      <c r="A111" s="29" t="s">
        <v>388</v>
      </c>
      <c r="B111" s="65">
        <f>B37</f>
        <v>12179.109506666669</v>
      </c>
      <c r="C111" s="65">
        <f t="shared" ref="C111:M111" si="54">C37</f>
        <v>16723.851760000001</v>
      </c>
      <c r="D111" s="65">
        <f t="shared" si="54"/>
        <v>21268.594013333339</v>
      </c>
      <c r="E111" s="65">
        <f t="shared" si="54"/>
        <v>25813.336266666673</v>
      </c>
      <c r="F111" s="65">
        <f t="shared" si="54"/>
        <v>37175.191900000005</v>
      </c>
      <c r="G111" s="65">
        <f t="shared" si="54"/>
        <v>53990.738237333338</v>
      </c>
      <c r="H111" s="65">
        <f t="shared" si="54"/>
        <v>53990.738237333338</v>
      </c>
      <c r="I111" s="65">
        <f t="shared" si="54"/>
        <v>53990.738237333338</v>
      </c>
      <c r="J111" s="65">
        <f t="shared" si="54"/>
        <v>53990.738237333338</v>
      </c>
      <c r="K111" s="65">
        <f t="shared" si="54"/>
        <v>53990.738237333338</v>
      </c>
      <c r="L111" s="65">
        <f t="shared" si="54"/>
        <v>53990.738237333338</v>
      </c>
      <c r="M111" s="65">
        <f t="shared" si="54"/>
        <v>54445.212462666685</v>
      </c>
    </row>
    <row r="112" spans="1:34" x14ac:dyDescent="0.25">
      <c r="A112" s="29" t="s">
        <v>396</v>
      </c>
      <c r="B112" s="65">
        <f>B97</f>
        <v>15188.833333333334</v>
      </c>
      <c r="C112" s="65">
        <f t="shared" ref="C112:M114" si="55">C97</f>
        <v>15188.833333333334</v>
      </c>
      <c r="D112" s="65">
        <f t="shared" si="55"/>
        <v>15188.833333333334</v>
      </c>
      <c r="E112" s="65">
        <f t="shared" si="55"/>
        <v>10765.833333333334</v>
      </c>
      <c r="F112" s="65">
        <f t="shared" si="55"/>
        <v>10765.833333333334</v>
      </c>
      <c r="G112" s="65">
        <f t="shared" si="55"/>
        <v>10765.833333333334</v>
      </c>
      <c r="H112" s="65">
        <f t="shared" si="55"/>
        <v>10765.833333333334</v>
      </c>
      <c r="I112" s="65">
        <f t="shared" si="55"/>
        <v>10765.833333333334</v>
      </c>
      <c r="J112" s="65">
        <f t="shared" si="55"/>
        <v>10765.833333333334</v>
      </c>
      <c r="K112" s="65">
        <f t="shared" si="55"/>
        <v>10765.833333333334</v>
      </c>
      <c r="L112" s="65">
        <f t="shared" si="55"/>
        <v>10765.833333333334</v>
      </c>
      <c r="M112" s="65">
        <f t="shared" si="55"/>
        <v>10772.833333333334</v>
      </c>
    </row>
    <row r="113" spans="1:13" x14ac:dyDescent="0.25">
      <c r="A113" s="29" t="s">
        <v>397</v>
      </c>
      <c r="B113" s="80">
        <f>B98</f>
        <v>-3009.7238266666645</v>
      </c>
      <c r="C113" s="80">
        <f t="shared" si="55"/>
        <v>1535.0184266666674</v>
      </c>
      <c r="D113" s="80">
        <f t="shared" si="55"/>
        <v>6079.7606800000049</v>
      </c>
      <c r="E113" s="80">
        <f t="shared" si="55"/>
        <v>15047.502933333339</v>
      </c>
      <c r="F113" s="80">
        <f t="shared" si="55"/>
        <v>26409.35856666667</v>
      </c>
      <c r="G113" s="80">
        <f t="shared" si="55"/>
        <v>43224.904904000003</v>
      </c>
      <c r="H113" s="80">
        <f t="shared" si="55"/>
        <v>43224.904904000003</v>
      </c>
      <c r="I113" s="80">
        <f t="shared" si="55"/>
        <v>43224.904904000003</v>
      </c>
      <c r="J113" s="80">
        <f t="shared" si="55"/>
        <v>43224.904904000003</v>
      </c>
      <c r="K113" s="80">
        <f t="shared" si="55"/>
        <v>43224.904904000003</v>
      </c>
      <c r="L113" s="80">
        <f t="shared" si="55"/>
        <v>43224.904904000003</v>
      </c>
      <c r="M113" s="80">
        <f t="shared" si="55"/>
        <v>43672.379129333349</v>
      </c>
    </row>
    <row r="114" spans="1:13" ht="15.75" thickBot="1" x14ac:dyDescent="0.3">
      <c r="A114" s="29" t="s">
        <v>398</v>
      </c>
      <c r="B114" s="81">
        <f>B99</f>
        <v>96990.276173333332</v>
      </c>
      <c r="C114" s="81">
        <f t="shared" si="55"/>
        <v>98525.294599999994</v>
      </c>
      <c r="D114" s="81">
        <f t="shared" si="55"/>
        <v>104605.05528</v>
      </c>
      <c r="E114" s="81">
        <f t="shared" si="55"/>
        <v>119652.55821333334</v>
      </c>
      <c r="F114" s="81">
        <f t="shared" si="55"/>
        <v>146061.91678</v>
      </c>
      <c r="G114" s="81">
        <f t="shared" si="55"/>
        <v>189286.821684</v>
      </c>
      <c r="H114" s="81">
        <f t="shared" si="55"/>
        <v>232511.72658799999</v>
      </c>
      <c r="I114" s="81">
        <f t="shared" si="55"/>
        <v>275736.63149200001</v>
      </c>
      <c r="J114" s="81">
        <f t="shared" si="55"/>
        <v>318961.53639600001</v>
      </c>
      <c r="K114" s="81">
        <f t="shared" si="55"/>
        <v>362186.44130000001</v>
      </c>
      <c r="L114" s="81">
        <f t="shared" si="55"/>
        <v>405411.346204</v>
      </c>
      <c r="M114" s="81">
        <f t="shared" si="55"/>
        <v>449083.72533333336</v>
      </c>
    </row>
    <row r="115" spans="1:13" ht="15.75" thickTop="1" x14ac:dyDescent="0.25"/>
  </sheetData>
  <mergeCells count="3">
    <mergeCell ref="A1:E1"/>
    <mergeCell ref="A3:M3"/>
    <mergeCell ref="A108:M10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B33B6-926A-463C-BD43-99CF095649AC}">
  <dimension ref="A1:AH129"/>
  <sheetViews>
    <sheetView topLeftCell="A89" zoomScaleNormal="100" workbookViewId="0">
      <selection activeCell="B116" sqref="B116:M116"/>
    </sheetView>
  </sheetViews>
  <sheetFormatPr defaultRowHeight="15" x14ac:dyDescent="0.25"/>
  <cols>
    <col min="1" max="1" width="37.5703125" customWidth="1"/>
    <col min="2" max="3" width="12" customWidth="1"/>
    <col min="4" max="4" width="14.7109375" customWidth="1"/>
    <col min="5" max="11" width="12" customWidth="1"/>
    <col min="12" max="13" width="13.42578125" customWidth="1"/>
    <col min="16" max="16" width="14.42578125" hidden="1" customWidth="1"/>
    <col min="17" max="17" width="0" hidden="1" customWidth="1"/>
    <col min="18" max="20" width="9.140625" hidden="1" customWidth="1"/>
    <col min="21" max="21" width="14" hidden="1" customWidth="1"/>
    <col min="22" max="22" width="13" hidden="1" customWidth="1"/>
    <col min="23" max="29" width="10.5703125" customWidth="1"/>
    <col min="30" max="30" width="12" customWidth="1"/>
    <col min="31" max="31" width="12.42578125" customWidth="1"/>
    <col min="34" max="34" width="13.140625" bestFit="1" customWidth="1"/>
  </cols>
  <sheetData>
    <row r="1" spans="1:22" x14ac:dyDescent="0.25">
      <c r="A1" s="63" t="s">
        <v>404</v>
      </c>
      <c r="B1" s="63"/>
      <c r="C1" s="63"/>
      <c r="D1" s="63"/>
      <c r="E1" s="63"/>
      <c r="F1" s="63"/>
      <c r="G1" s="63"/>
      <c r="H1" s="63"/>
    </row>
    <row r="3" spans="1:22" ht="18.75" x14ac:dyDescent="0.3">
      <c r="A3" s="59" t="s">
        <v>364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22" x14ac:dyDescent="0.25">
      <c r="A4" s="32" t="s">
        <v>77</v>
      </c>
      <c r="B4" s="32" t="s">
        <v>365</v>
      </c>
      <c r="C4" s="32" t="s">
        <v>366</v>
      </c>
      <c r="D4" s="32" t="s">
        <v>367</v>
      </c>
      <c r="E4" s="32" t="s">
        <v>368</v>
      </c>
      <c r="F4" s="32" t="s">
        <v>369</v>
      </c>
      <c r="G4" s="32" t="s">
        <v>370</v>
      </c>
      <c r="H4" s="32" t="s">
        <v>371</v>
      </c>
      <c r="I4" s="32" t="s">
        <v>372</v>
      </c>
      <c r="J4" s="32" t="s">
        <v>373</v>
      </c>
      <c r="K4" s="32" t="s">
        <v>374</v>
      </c>
      <c r="L4" s="32" t="s">
        <v>375</v>
      </c>
      <c r="M4" s="32" t="s">
        <v>376</v>
      </c>
    </row>
    <row r="5" spans="1:22" x14ac:dyDescent="0.25">
      <c r="A5" s="33" t="s">
        <v>11</v>
      </c>
      <c r="B5" s="51">
        <f>5000+SUM(B53:B55)</f>
        <v>8435.8333333333321</v>
      </c>
      <c r="C5" s="51">
        <f>SUM(C53:C55)</f>
        <v>3435.833333333333</v>
      </c>
      <c r="D5" s="51">
        <f t="shared" ref="D5:M5" si="0">SUM(D53:D55)</f>
        <v>3435.833333333333</v>
      </c>
      <c r="E5" s="51">
        <f t="shared" si="0"/>
        <v>1150.6166666666668</v>
      </c>
      <c r="F5" s="51">
        <f t="shared" si="0"/>
        <v>1150.6166666666668</v>
      </c>
      <c r="G5" s="51">
        <f t="shared" si="0"/>
        <v>1150.6166666666668</v>
      </c>
      <c r="H5" s="51">
        <f t="shared" si="0"/>
        <v>1150.6166666666668</v>
      </c>
      <c r="I5" s="51">
        <f t="shared" si="0"/>
        <v>1150.6166666666668</v>
      </c>
      <c r="J5" s="51">
        <f t="shared" si="0"/>
        <v>1150.6166666666668</v>
      </c>
      <c r="K5" s="51">
        <f t="shared" si="0"/>
        <v>1150.6166666666668</v>
      </c>
      <c r="L5" s="51">
        <f>SUM(L53:L55)</f>
        <v>1150.6166666666668</v>
      </c>
      <c r="M5" s="51">
        <f t="shared" si="0"/>
        <v>1154.2333333333333</v>
      </c>
      <c r="P5" s="11">
        <f>5000+SUM(P53:P55)</f>
        <v>25666.666666666668</v>
      </c>
    </row>
    <row r="6" spans="1:22" x14ac:dyDescent="0.25">
      <c r="A6" s="33" t="s">
        <v>12</v>
      </c>
      <c r="B6" s="64">
        <f>(25%/12)*1.08</f>
        <v>2.2499999999999999E-2</v>
      </c>
      <c r="C6" s="64">
        <f t="shared" ref="C6:M6" si="1">(25%/12)*1.1</f>
        <v>2.2916666666666669E-2</v>
      </c>
      <c r="D6" s="64">
        <f t="shared" si="1"/>
        <v>2.2916666666666669E-2</v>
      </c>
      <c r="E6" s="64">
        <f t="shared" si="1"/>
        <v>2.2916666666666669E-2</v>
      </c>
      <c r="F6" s="64">
        <f t="shared" si="1"/>
        <v>2.2916666666666669E-2</v>
      </c>
      <c r="G6" s="64">
        <f t="shared" si="1"/>
        <v>2.2916666666666669E-2</v>
      </c>
      <c r="H6" s="64">
        <f t="shared" si="1"/>
        <v>2.2916666666666669E-2</v>
      </c>
      <c r="I6" s="64">
        <f t="shared" si="1"/>
        <v>2.2916666666666669E-2</v>
      </c>
      <c r="J6" s="64">
        <f t="shared" si="1"/>
        <v>2.2916666666666669E-2</v>
      </c>
      <c r="K6" s="64">
        <f t="shared" si="1"/>
        <v>2.2916666666666669E-2</v>
      </c>
      <c r="L6" s="64">
        <f t="shared" si="1"/>
        <v>2.2916666666666669E-2</v>
      </c>
      <c r="M6" s="64">
        <f t="shared" si="1"/>
        <v>2.2916666666666669E-2</v>
      </c>
      <c r="P6" s="55">
        <v>0.25</v>
      </c>
    </row>
    <row r="7" spans="1:22" x14ac:dyDescent="0.25">
      <c r="A7" s="33" t="s">
        <v>13</v>
      </c>
      <c r="B7" s="64">
        <f>18%/12</f>
        <v>1.4999999999999999E-2</v>
      </c>
      <c r="C7" s="64">
        <f t="shared" ref="C7:M7" si="2">18%/12</f>
        <v>1.4999999999999999E-2</v>
      </c>
      <c r="D7" s="64">
        <f t="shared" si="2"/>
        <v>1.4999999999999999E-2</v>
      </c>
      <c r="E7" s="64">
        <f t="shared" si="2"/>
        <v>1.4999999999999999E-2</v>
      </c>
      <c r="F7" s="64">
        <f t="shared" si="2"/>
        <v>1.4999999999999999E-2</v>
      </c>
      <c r="G7" s="64">
        <f t="shared" si="2"/>
        <v>1.4999999999999999E-2</v>
      </c>
      <c r="H7" s="64">
        <f t="shared" si="2"/>
        <v>1.4999999999999999E-2</v>
      </c>
      <c r="I7" s="64">
        <f t="shared" si="2"/>
        <v>1.4999999999999999E-2</v>
      </c>
      <c r="J7" s="64">
        <f t="shared" si="2"/>
        <v>1.4999999999999999E-2</v>
      </c>
      <c r="K7" s="64">
        <f t="shared" si="2"/>
        <v>1.4999999999999999E-2</v>
      </c>
      <c r="L7" s="64">
        <f t="shared" si="2"/>
        <v>1.4999999999999999E-2</v>
      </c>
      <c r="M7" s="64">
        <f t="shared" si="2"/>
        <v>1.4999999999999999E-2</v>
      </c>
      <c r="P7" s="55">
        <v>0.18</v>
      </c>
    </row>
    <row r="8" spans="1:22" x14ac:dyDescent="0.25">
      <c r="A8" s="31" t="s">
        <v>14</v>
      </c>
      <c r="B8" s="64">
        <f>B6-B7</f>
        <v>7.4999999999999997E-3</v>
      </c>
      <c r="C8" s="64">
        <f t="shared" ref="C8:M8" si="3">C6-C7</f>
        <v>7.9166666666666691E-3</v>
      </c>
      <c r="D8" s="64">
        <f t="shared" si="3"/>
        <v>7.9166666666666691E-3</v>
      </c>
      <c r="E8" s="64">
        <f t="shared" si="3"/>
        <v>7.9166666666666691E-3</v>
      </c>
      <c r="F8" s="64">
        <f t="shared" si="3"/>
        <v>7.9166666666666691E-3</v>
      </c>
      <c r="G8" s="64">
        <f t="shared" si="3"/>
        <v>7.9166666666666691E-3</v>
      </c>
      <c r="H8" s="64">
        <f t="shared" si="3"/>
        <v>7.9166666666666691E-3</v>
      </c>
      <c r="I8" s="64">
        <f t="shared" si="3"/>
        <v>7.9166666666666691E-3</v>
      </c>
      <c r="J8" s="64">
        <f t="shared" si="3"/>
        <v>7.9166666666666691E-3</v>
      </c>
      <c r="K8" s="64">
        <f t="shared" si="3"/>
        <v>7.9166666666666691E-3</v>
      </c>
      <c r="L8" s="64">
        <f t="shared" si="3"/>
        <v>7.9166666666666691E-3</v>
      </c>
      <c r="M8" s="64">
        <f t="shared" si="3"/>
        <v>7.9166666666666691E-3</v>
      </c>
      <c r="P8" s="55">
        <v>7.0000000000000007E-2</v>
      </c>
    </row>
    <row r="9" spans="1:22" x14ac:dyDescent="0.25">
      <c r="A9" s="32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P9" s="66"/>
    </row>
    <row r="10" spans="1:22" ht="17.25" x14ac:dyDescent="0.25">
      <c r="A10" s="29" t="s">
        <v>377</v>
      </c>
      <c r="B10" s="38">
        <f>B5*(1+B8)</f>
        <v>8499.1020833333332</v>
      </c>
      <c r="C10" s="38">
        <f>(C5+B10)*(1+C8)</f>
        <v>12029.420322048611</v>
      </c>
      <c r="D10" s="38">
        <f t="shared" ref="D10:M10" si="4">(D5+C10)*(1+D8)</f>
        <v>15587.68691348705</v>
      </c>
      <c r="E10" s="38">
        <f>(E5+D10)*(1+E8)</f>
        <v>16870.815150163267</v>
      </c>
      <c r="F10" s="38">
        <f t="shared" si="4"/>
        <v>18164.101485379837</v>
      </c>
      <c r="G10" s="38">
        <f t="shared" si="4"/>
        <v>19467.626337416867</v>
      </c>
      <c r="H10" s="38">
        <f t="shared" si="4"/>
        <v>20781.470761199191</v>
      </c>
      <c r="I10" s="38">
        <f t="shared" si="4"/>
        <v>22105.716453336463</v>
      </c>
      <c r="J10" s="38">
        <f t="shared" si="4"/>
        <v>23440.445757203153</v>
      </c>
      <c r="K10" s="38">
        <f t="shared" si="4"/>
        <v>24785.741668058788</v>
      </c>
      <c r="L10" s="38">
        <f t="shared" si="4"/>
        <v>26141.687838208694</v>
      </c>
      <c r="M10" s="38">
        <f t="shared" si="4"/>
        <v>27512.013880816732</v>
      </c>
      <c r="P10" s="11">
        <f>(P5*(1+P8))*V10</f>
        <v>27463.333333333336</v>
      </c>
      <c r="V10">
        <v>1</v>
      </c>
    </row>
    <row r="11" spans="1:22" x14ac:dyDescent="0.25">
      <c r="A11" s="29" t="s">
        <v>15</v>
      </c>
      <c r="B11" s="3">
        <f>B10-B13</f>
        <v>7649.1918749999995</v>
      </c>
      <c r="C11" s="3">
        <f>C10-C13</f>
        <v>10826.47828984375</v>
      </c>
      <c r="D11" s="3">
        <f t="shared" ref="D11:M11" si="5">D10-D13</f>
        <v>14028.918222138345</v>
      </c>
      <c r="E11" s="3">
        <f t="shared" si="5"/>
        <v>15183.73363514694</v>
      </c>
      <c r="F11" s="3">
        <f t="shared" si="5"/>
        <v>16347.691336841854</v>
      </c>
      <c r="G11" s="3">
        <f t="shared" si="5"/>
        <v>17520.863703675179</v>
      </c>
      <c r="H11" s="3">
        <f t="shared" si="5"/>
        <v>18703.323685079271</v>
      </c>
      <c r="I11" s="3">
        <f t="shared" si="5"/>
        <v>19895.144808002817</v>
      </c>
      <c r="J11" s="3">
        <f t="shared" si="5"/>
        <v>21096.401181482837</v>
      </c>
      <c r="K11" s="3">
        <f t="shared" si="5"/>
        <v>22307.167501252909</v>
      </c>
      <c r="L11" s="3">
        <f t="shared" si="5"/>
        <v>23527.519054387823</v>
      </c>
      <c r="M11" s="3">
        <f t="shared" si="5"/>
        <v>24760.812492735058</v>
      </c>
      <c r="P11" s="11">
        <v>24717</v>
      </c>
    </row>
    <row r="12" spans="1:22" x14ac:dyDescent="0.25">
      <c r="A12" s="33" t="s">
        <v>16</v>
      </c>
      <c r="B12" s="35">
        <v>0.1</v>
      </c>
      <c r="C12" s="35">
        <v>0.1</v>
      </c>
      <c r="D12" s="35">
        <v>0.1</v>
      </c>
      <c r="E12" s="35">
        <v>0.1</v>
      </c>
      <c r="F12" s="35">
        <v>0.1</v>
      </c>
      <c r="G12" s="35">
        <v>0.1</v>
      </c>
      <c r="H12" s="35">
        <v>0.1</v>
      </c>
      <c r="I12" s="35">
        <v>0.1</v>
      </c>
      <c r="J12" s="35">
        <v>0.1</v>
      </c>
      <c r="K12" s="35">
        <v>0.1</v>
      </c>
      <c r="L12" s="35">
        <v>0.1</v>
      </c>
      <c r="M12" s="35">
        <v>0.1</v>
      </c>
      <c r="P12" s="55">
        <v>0.1</v>
      </c>
    </row>
    <row r="13" spans="1:22" x14ac:dyDescent="0.25">
      <c r="A13" s="29" t="s">
        <v>17</v>
      </c>
      <c r="B13" s="3">
        <f>B10*B12</f>
        <v>849.91020833333334</v>
      </c>
      <c r="C13" s="3">
        <f t="shared" ref="C13:M13" si="6">C10*C12</f>
        <v>1202.9420322048611</v>
      </c>
      <c r="D13" s="3">
        <f t="shared" si="6"/>
        <v>1558.768691348705</v>
      </c>
      <c r="E13" s="3">
        <f t="shared" si="6"/>
        <v>1687.0815150163269</v>
      </c>
      <c r="F13" s="3">
        <f t="shared" si="6"/>
        <v>1816.4101485379838</v>
      </c>
      <c r="G13" s="3">
        <f t="shared" si="6"/>
        <v>1946.7626337416868</v>
      </c>
      <c r="H13" s="3">
        <f t="shared" si="6"/>
        <v>2078.1470761199193</v>
      </c>
      <c r="I13" s="3">
        <f t="shared" si="6"/>
        <v>2210.5716453336463</v>
      </c>
      <c r="J13" s="3">
        <f t="shared" si="6"/>
        <v>2344.0445757203156</v>
      </c>
      <c r="K13" s="3">
        <f t="shared" si="6"/>
        <v>2478.574166805879</v>
      </c>
      <c r="L13" s="3">
        <f t="shared" si="6"/>
        <v>2614.1687838208695</v>
      </c>
      <c r="M13" s="3">
        <f t="shared" si="6"/>
        <v>2751.2013880816735</v>
      </c>
      <c r="P13" s="11">
        <f>P10*P12</f>
        <v>2746.3333333333339</v>
      </c>
    </row>
    <row r="14" spans="1:22" x14ac:dyDescent="0.25">
      <c r="A14" s="2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22" ht="17.25" x14ac:dyDescent="0.25">
      <c r="A15" s="67" t="s">
        <v>378</v>
      </c>
      <c r="B15" s="68">
        <v>30000</v>
      </c>
      <c r="C15" s="68">
        <f>B99</f>
        <v>26990.276173333335</v>
      </c>
      <c r="D15" s="68">
        <f t="shared" ref="D15:M15" si="7">C99</f>
        <v>28525.294600000001</v>
      </c>
      <c r="E15" s="68">
        <f t="shared" si="7"/>
        <v>34605.055280000008</v>
      </c>
      <c r="F15" s="68">
        <f t="shared" si="7"/>
        <v>49652.558213333345</v>
      </c>
      <c r="G15" s="68">
        <f t="shared" si="7"/>
        <v>76061.916780000014</v>
      </c>
      <c r="H15" s="68">
        <f t="shared" si="7"/>
        <v>119286.82168400002</v>
      </c>
      <c r="I15" s="68">
        <f t="shared" si="7"/>
        <v>162511.72658800002</v>
      </c>
      <c r="J15" s="68">
        <f t="shared" si="7"/>
        <v>205736.63149200001</v>
      </c>
      <c r="K15" s="68">
        <f t="shared" si="7"/>
        <v>248961.53639600001</v>
      </c>
      <c r="L15" s="68">
        <f t="shared" si="7"/>
        <v>292186.44130000001</v>
      </c>
      <c r="M15" s="68">
        <f t="shared" si="7"/>
        <v>335411.346204</v>
      </c>
    </row>
    <row r="16" spans="1:22" x14ac:dyDescent="0.25">
      <c r="A16" s="26" t="s">
        <v>18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69"/>
      <c r="M16" s="69"/>
    </row>
    <row r="17" spans="1:22" x14ac:dyDescent="0.25">
      <c r="A17" s="33" t="s">
        <v>19</v>
      </c>
      <c r="B17" s="70">
        <f>$P$17/12</f>
        <v>3564.2829444444455</v>
      </c>
      <c r="C17" s="70">
        <f t="shared" ref="C17:M17" si="8">$P$17/12</f>
        <v>3564.2829444444455</v>
      </c>
      <c r="D17" s="70">
        <f t="shared" si="8"/>
        <v>3564.2829444444455</v>
      </c>
      <c r="E17" s="70">
        <f t="shared" si="8"/>
        <v>3564.2829444444455</v>
      </c>
      <c r="F17" s="70">
        <f t="shared" si="8"/>
        <v>3564.2829444444455</v>
      </c>
      <c r="G17" s="70">
        <f t="shared" si="8"/>
        <v>3564.2829444444455</v>
      </c>
      <c r="H17" s="70">
        <f t="shared" si="8"/>
        <v>3564.2829444444455</v>
      </c>
      <c r="I17" s="70">
        <f t="shared" si="8"/>
        <v>3564.2829444444455</v>
      </c>
      <c r="J17" s="70">
        <f t="shared" si="8"/>
        <v>3564.2829444444455</v>
      </c>
      <c r="K17" s="70">
        <f t="shared" si="8"/>
        <v>3564.2829444444455</v>
      </c>
      <c r="L17" s="70">
        <f t="shared" si="8"/>
        <v>3564.2829444444455</v>
      </c>
      <c r="M17" s="70">
        <f t="shared" si="8"/>
        <v>3564.2829444444455</v>
      </c>
      <c r="P17" s="8">
        <f>(T17*52*P13*P18)</f>
        <v>42771.395333333348</v>
      </c>
      <c r="S17">
        <v>5.99</v>
      </c>
      <c r="T17">
        <v>5.99</v>
      </c>
    </row>
    <row r="18" spans="1:22" ht="17.25" x14ac:dyDescent="0.25">
      <c r="A18" s="71" t="s">
        <v>379</v>
      </c>
      <c r="B18" s="72">
        <v>0.02</v>
      </c>
      <c r="C18" s="72">
        <v>0.03</v>
      </c>
      <c r="D18" s="72">
        <v>0.04</v>
      </c>
      <c r="E18" s="72">
        <v>0.05</v>
      </c>
      <c r="F18" s="72">
        <v>7.4999999999999997E-2</v>
      </c>
      <c r="G18" s="72">
        <v>0.112</v>
      </c>
      <c r="H18" s="72">
        <v>0.112</v>
      </c>
      <c r="I18" s="72">
        <v>0.112</v>
      </c>
      <c r="J18" s="72">
        <v>0.112</v>
      </c>
      <c r="K18" s="72">
        <v>0.112</v>
      </c>
      <c r="L18" s="72">
        <v>0.112</v>
      </c>
      <c r="M18" s="72">
        <v>0.113</v>
      </c>
      <c r="P18" s="55">
        <v>0.05</v>
      </c>
    </row>
    <row r="19" spans="1:22" x14ac:dyDescent="0.25">
      <c r="A19" s="33" t="s">
        <v>380</v>
      </c>
      <c r="B19" s="70">
        <f>$P$17*B18</f>
        <v>855.42790666666701</v>
      </c>
      <c r="C19" s="70">
        <f t="shared" ref="C19:M19" si="9">$P$17*C18</f>
        <v>1283.1418600000004</v>
      </c>
      <c r="D19" s="70">
        <f t="shared" si="9"/>
        <v>1710.855813333334</v>
      </c>
      <c r="E19" s="70">
        <f t="shared" si="9"/>
        <v>2138.5697666666674</v>
      </c>
      <c r="F19" s="70">
        <f t="shared" si="9"/>
        <v>3207.8546500000011</v>
      </c>
      <c r="G19" s="70">
        <f t="shared" si="9"/>
        <v>4790.3962773333351</v>
      </c>
      <c r="H19" s="70">
        <f t="shared" si="9"/>
        <v>4790.3962773333351</v>
      </c>
      <c r="I19" s="70">
        <f t="shared" si="9"/>
        <v>4790.3962773333351</v>
      </c>
      <c r="J19" s="70">
        <f t="shared" si="9"/>
        <v>4790.3962773333351</v>
      </c>
      <c r="K19" s="70">
        <f t="shared" si="9"/>
        <v>4790.3962773333351</v>
      </c>
      <c r="L19" s="70">
        <f t="shared" si="9"/>
        <v>4790.3962773333351</v>
      </c>
      <c r="M19" s="70">
        <f t="shared" si="9"/>
        <v>4833.1676726666683</v>
      </c>
      <c r="P19" s="55"/>
    </row>
    <row r="20" spans="1:22" x14ac:dyDescent="0.25">
      <c r="A20" s="33" t="s">
        <v>20</v>
      </c>
      <c r="B20" s="70">
        <f>$P$20/12</f>
        <v>24973.782166666671</v>
      </c>
      <c r="C20" s="70">
        <f t="shared" ref="C20:M20" si="10">$P$20/12</f>
        <v>24973.782166666671</v>
      </c>
      <c r="D20" s="70">
        <f t="shared" si="10"/>
        <v>24973.782166666671</v>
      </c>
      <c r="E20" s="70">
        <f t="shared" si="10"/>
        <v>24973.782166666671</v>
      </c>
      <c r="F20" s="70">
        <f t="shared" si="10"/>
        <v>24973.782166666671</v>
      </c>
      <c r="G20" s="70">
        <f t="shared" si="10"/>
        <v>24973.782166666671</v>
      </c>
      <c r="H20" s="70">
        <f t="shared" si="10"/>
        <v>24973.782166666671</v>
      </c>
      <c r="I20" s="70">
        <f t="shared" si="10"/>
        <v>24973.782166666671</v>
      </c>
      <c r="J20" s="70">
        <f t="shared" si="10"/>
        <v>24973.782166666671</v>
      </c>
      <c r="K20" s="70">
        <f t="shared" si="10"/>
        <v>24973.782166666671</v>
      </c>
      <c r="L20" s="70">
        <f t="shared" si="10"/>
        <v>24973.782166666671</v>
      </c>
      <c r="M20" s="70">
        <f t="shared" si="10"/>
        <v>24973.782166666671</v>
      </c>
      <c r="P20" s="8">
        <f>T20*12*P13*P21</f>
        <v>299685.38600000006</v>
      </c>
      <c r="S20">
        <v>13.99</v>
      </c>
      <c r="T20">
        <v>13.99</v>
      </c>
    </row>
    <row r="21" spans="1:22" x14ac:dyDescent="0.25">
      <c r="A21" s="71" t="s">
        <v>381</v>
      </c>
      <c r="B21" s="72">
        <v>0.02</v>
      </c>
      <c r="C21" s="72">
        <v>0.03</v>
      </c>
      <c r="D21" s="72">
        <v>0.04</v>
      </c>
      <c r="E21" s="72">
        <v>0.05</v>
      </c>
      <c r="F21" s="72">
        <v>7.4999999999999997E-2</v>
      </c>
      <c r="G21" s="72">
        <v>0.112</v>
      </c>
      <c r="H21" s="72">
        <v>0.112</v>
      </c>
      <c r="I21" s="72">
        <v>0.112</v>
      </c>
      <c r="J21" s="72">
        <v>0.112</v>
      </c>
      <c r="K21" s="72">
        <v>0.112</v>
      </c>
      <c r="L21" s="72">
        <v>0.112</v>
      </c>
      <c r="M21" s="72">
        <v>0.113</v>
      </c>
      <c r="P21" s="55">
        <v>0.65</v>
      </c>
    </row>
    <row r="22" spans="1:22" x14ac:dyDescent="0.25">
      <c r="A22" s="33" t="s">
        <v>380</v>
      </c>
      <c r="B22" s="70">
        <f>$P$20*B21</f>
        <v>5993.7077200000012</v>
      </c>
      <c r="C22" s="70">
        <f t="shared" ref="C22:M22" si="11">$P$20*C21</f>
        <v>8990.5615800000014</v>
      </c>
      <c r="D22" s="70">
        <f t="shared" si="11"/>
        <v>11987.415440000002</v>
      </c>
      <c r="E22" s="70">
        <f t="shared" si="11"/>
        <v>14984.269300000004</v>
      </c>
      <c r="F22" s="70">
        <f t="shared" si="11"/>
        <v>22476.403950000004</v>
      </c>
      <c r="G22" s="70">
        <f t="shared" si="11"/>
        <v>33564.763232000005</v>
      </c>
      <c r="H22" s="70">
        <f t="shared" si="11"/>
        <v>33564.763232000005</v>
      </c>
      <c r="I22" s="70">
        <f t="shared" si="11"/>
        <v>33564.763232000005</v>
      </c>
      <c r="J22" s="70">
        <f t="shared" si="11"/>
        <v>33564.763232000005</v>
      </c>
      <c r="K22" s="70">
        <f t="shared" si="11"/>
        <v>33564.763232000005</v>
      </c>
      <c r="L22" s="70">
        <f t="shared" si="11"/>
        <v>33564.763232000005</v>
      </c>
      <c r="M22" s="70">
        <f t="shared" si="11"/>
        <v>33864.448618000009</v>
      </c>
      <c r="P22" s="55"/>
    </row>
    <row r="23" spans="1:22" x14ac:dyDescent="0.25">
      <c r="A23" s="33" t="s">
        <v>382</v>
      </c>
      <c r="B23" s="70">
        <f>$P$23/12</f>
        <v>9334.7870000000021</v>
      </c>
      <c r="C23" s="70">
        <f t="shared" ref="C23:M23" si="12">$P$23/12</f>
        <v>9334.7870000000021</v>
      </c>
      <c r="D23" s="70">
        <f t="shared" si="12"/>
        <v>9334.7870000000021</v>
      </c>
      <c r="E23" s="70">
        <f t="shared" si="12"/>
        <v>9334.7870000000021</v>
      </c>
      <c r="F23" s="70">
        <f t="shared" si="12"/>
        <v>9334.7870000000021</v>
      </c>
      <c r="G23" s="70">
        <f t="shared" si="12"/>
        <v>9334.7870000000021</v>
      </c>
      <c r="H23" s="70">
        <f t="shared" si="12"/>
        <v>9334.7870000000021</v>
      </c>
      <c r="I23" s="70">
        <f t="shared" si="12"/>
        <v>9334.7870000000021</v>
      </c>
      <c r="J23" s="70">
        <f t="shared" si="12"/>
        <v>9334.7870000000021</v>
      </c>
      <c r="K23" s="70">
        <f t="shared" si="12"/>
        <v>9334.7870000000021</v>
      </c>
      <c r="L23" s="70">
        <f t="shared" si="12"/>
        <v>9334.7870000000021</v>
      </c>
      <c r="M23" s="70">
        <f t="shared" si="12"/>
        <v>9334.7870000000021</v>
      </c>
      <c r="P23" s="8">
        <f>T23*1*P13*P24</f>
        <v>112017.44400000003</v>
      </c>
      <c r="S23">
        <v>135.96</v>
      </c>
      <c r="T23">
        <v>135.96</v>
      </c>
    </row>
    <row r="24" spans="1:22" x14ac:dyDescent="0.25">
      <c r="A24" s="71" t="s">
        <v>381</v>
      </c>
      <c r="B24" s="72">
        <v>0.02</v>
      </c>
      <c r="C24" s="72">
        <v>0.03</v>
      </c>
      <c r="D24" s="72">
        <v>0.04</v>
      </c>
      <c r="E24" s="72">
        <v>0.05</v>
      </c>
      <c r="F24" s="72">
        <v>7.4999999999999997E-2</v>
      </c>
      <c r="G24" s="72">
        <v>0.112</v>
      </c>
      <c r="H24" s="72">
        <v>0.112</v>
      </c>
      <c r="I24" s="72">
        <v>0.112</v>
      </c>
      <c r="J24" s="72">
        <v>0.112</v>
      </c>
      <c r="K24" s="72">
        <v>0.112</v>
      </c>
      <c r="L24" s="72">
        <v>0.112</v>
      </c>
      <c r="M24" s="72">
        <v>0.113</v>
      </c>
      <c r="P24" s="55">
        <v>0.3</v>
      </c>
    </row>
    <row r="25" spans="1:22" x14ac:dyDescent="0.25">
      <c r="A25" s="33" t="s">
        <v>380</v>
      </c>
      <c r="B25" s="70">
        <f>$P$23*B24</f>
        <v>2240.3488800000009</v>
      </c>
      <c r="C25" s="70">
        <f t="shared" ref="C25:M25" si="13">$P$23*C24</f>
        <v>3360.5233200000007</v>
      </c>
      <c r="D25" s="70">
        <f t="shared" si="13"/>
        <v>4480.6977600000018</v>
      </c>
      <c r="E25" s="70">
        <f t="shared" si="13"/>
        <v>5600.8722000000016</v>
      </c>
      <c r="F25" s="70">
        <f t="shared" si="13"/>
        <v>8401.3083000000024</v>
      </c>
      <c r="G25" s="70">
        <f t="shared" si="13"/>
        <v>12545.953728000004</v>
      </c>
      <c r="H25" s="70">
        <f t="shared" si="13"/>
        <v>12545.953728000004</v>
      </c>
      <c r="I25" s="70">
        <f t="shared" si="13"/>
        <v>12545.953728000004</v>
      </c>
      <c r="J25" s="70">
        <f t="shared" si="13"/>
        <v>12545.953728000004</v>
      </c>
      <c r="K25" s="70">
        <f t="shared" si="13"/>
        <v>12545.953728000004</v>
      </c>
      <c r="L25" s="70">
        <f t="shared" si="13"/>
        <v>12545.953728000004</v>
      </c>
      <c r="M25" s="70">
        <f t="shared" si="13"/>
        <v>12657.971172000003</v>
      </c>
      <c r="P25" s="55"/>
    </row>
    <row r="26" spans="1:22" ht="15" customHeight="1" x14ac:dyDescent="0.25">
      <c r="A26" s="29" t="s">
        <v>383</v>
      </c>
      <c r="B26" s="50">
        <f>SUM(B25+B22+B19)</f>
        <v>9089.4845066666694</v>
      </c>
      <c r="C26" s="50">
        <f t="shared" ref="C26:M26" si="14">SUM(C25+C22+C19)</f>
        <v>13634.226760000001</v>
      </c>
      <c r="D26" s="50">
        <f t="shared" si="14"/>
        <v>18178.969013333339</v>
      </c>
      <c r="E26" s="50">
        <f t="shared" si="14"/>
        <v>22723.711266666673</v>
      </c>
      <c r="F26" s="50">
        <f t="shared" si="14"/>
        <v>34085.566900000005</v>
      </c>
      <c r="G26" s="50">
        <f t="shared" si="14"/>
        <v>50901.113237333338</v>
      </c>
      <c r="H26" s="50">
        <f t="shared" si="14"/>
        <v>50901.113237333338</v>
      </c>
      <c r="I26" s="50">
        <f t="shared" si="14"/>
        <v>50901.113237333338</v>
      </c>
      <c r="J26" s="50">
        <f t="shared" si="14"/>
        <v>50901.113237333338</v>
      </c>
      <c r="K26" s="50">
        <f t="shared" si="14"/>
        <v>50901.113237333338</v>
      </c>
      <c r="L26" s="50">
        <f t="shared" si="14"/>
        <v>50901.113237333338</v>
      </c>
      <c r="M26" s="50">
        <f t="shared" si="14"/>
        <v>51355.587462666685</v>
      </c>
      <c r="P26" s="8">
        <f>SUM(P17,P20,P23)</f>
        <v>454474.22533333342</v>
      </c>
      <c r="T26" s="44"/>
      <c r="U26" s="44"/>
      <c r="V26" s="44"/>
    </row>
    <row r="27" spans="1:22" x14ac:dyDescent="0.25">
      <c r="A27" s="29" t="s">
        <v>21</v>
      </c>
      <c r="B27" s="6">
        <f>B26/B13</f>
        <v>10.694640936824458</v>
      </c>
      <c r="C27" s="6">
        <f t="shared" ref="C27:M27" si="15">C26/C13</f>
        <v>11.334067972510658</v>
      </c>
      <c r="D27" s="6">
        <f t="shared" si="15"/>
        <v>11.662390394564708</v>
      </c>
      <c r="E27" s="6">
        <f t="shared" si="15"/>
        <v>13.469243225302462</v>
      </c>
      <c r="F27" s="6">
        <f t="shared" si="15"/>
        <v>18.765347092690078</v>
      </c>
      <c r="G27" s="6">
        <f t="shared" si="15"/>
        <v>26.146543166128662</v>
      </c>
      <c r="H27" s="6">
        <f t="shared" si="15"/>
        <v>24.493508578983796</v>
      </c>
      <c r="I27" s="6">
        <f t="shared" si="15"/>
        <v>23.026221902729024</v>
      </c>
      <c r="J27" s="6">
        <f t="shared" si="15"/>
        <v>21.715079040974135</v>
      </c>
      <c r="K27" s="6">
        <f t="shared" si="15"/>
        <v>20.536449511587236</v>
      </c>
      <c r="L27" s="6">
        <f t="shared" si="15"/>
        <v>19.471242083663881</v>
      </c>
      <c r="M27" s="6">
        <f t="shared" si="15"/>
        <v>18.666604227935245</v>
      </c>
      <c r="P27" s="8">
        <f>P26/P13</f>
        <v>165.48400000000001</v>
      </c>
      <c r="T27" s="44"/>
      <c r="U27" s="44"/>
      <c r="V27" s="44"/>
    </row>
    <row r="28" spans="1:22" x14ac:dyDescent="0.25">
      <c r="A28" s="29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4"/>
      <c r="O28" s="44"/>
      <c r="Q28" s="44"/>
      <c r="R28" s="44"/>
      <c r="S28" s="44"/>
      <c r="T28" s="44"/>
      <c r="U28" s="44"/>
      <c r="V28" s="44"/>
    </row>
    <row r="29" spans="1:22" x14ac:dyDescent="0.25">
      <c r="A29" s="33" t="s">
        <v>22</v>
      </c>
      <c r="B29" s="6">
        <f>1.5/12</f>
        <v>0.125</v>
      </c>
      <c r="C29" s="6">
        <f t="shared" ref="C29:M29" si="16">1.5/12</f>
        <v>0.125</v>
      </c>
      <c r="D29" s="6">
        <f t="shared" si="16"/>
        <v>0.125</v>
      </c>
      <c r="E29" s="6">
        <f t="shared" si="16"/>
        <v>0.125</v>
      </c>
      <c r="F29" s="6">
        <f t="shared" si="16"/>
        <v>0.125</v>
      </c>
      <c r="G29" s="6">
        <f t="shared" si="16"/>
        <v>0.125</v>
      </c>
      <c r="H29" s="6">
        <f t="shared" si="16"/>
        <v>0.125</v>
      </c>
      <c r="I29" s="6">
        <f t="shared" si="16"/>
        <v>0.125</v>
      </c>
      <c r="J29" s="6">
        <f t="shared" si="16"/>
        <v>0.125</v>
      </c>
      <c r="K29" s="6">
        <f t="shared" si="16"/>
        <v>0.125</v>
      </c>
      <c r="L29" s="6">
        <f t="shared" si="16"/>
        <v>0.125</v>
      </c>
      <c r="M29" s="6">
        <f t="shared" si="16"/>
        <v>0.125</v>
      </c>
      <c r="N29" s="44"/>
      <c r="O29" s="44"/>
      <c r="P29" s="8">
        <v>1.5</v>
      </c>
      <c r="Q29" s="44"/>
      <c r="R29" s="44"/>
      <c r="S29" s="44"/>
      <c r="T29" s="44"/>
      <c r="U29" s="44"/>
      <c r="V29" s="44"/>
    </row>
    <row r="30" spans="1:22" x14ac:dyDescent="0.25">
      <c r="A30" s="33" t="s">
        <v>23</v>
      </c>
      <c r="B30" s="73">
        <f>$P$30/12</f>
        <v>3089.625</v>
      </c>
      <c r="C30" s="73">
        <f t="shared" ref="C30:M30" si="17">$P$30/12</f>
        <v>3089.625</v>
      </c>
      <c r="D30" s="73">
        <f t="shared" si="17"/>
        <v>3089.625</v>
      </c>
      <c r="E30" s="73">
        <f t="shared" si="17"/>
        <v>3089.625</v>
      </c>
      <c r="F30" s="73">
        <f t="shared" si="17"/>
        <v>3089.625</v>
      </c>
      <c r="G30" s="73">
        <f t="shared" si="17"/>
        <v>3089.625</v>
      </c>
      <c r="H30" s="73">
        <f t="shared" si="17"/>
        <v>3089.625</v>
      </c>
      <c r="I30" s="73">
        <f t="shared" si="17"/>
        <v>3089.625</v>
      </c>
      <c r="J30" s="73">
        <f t="shared" si="17"/>
        <v>3089.625</v>
      </c>
      <c r="K30" s="73">
        <f t="shared" si="17"/>
        <v>3089.625</v>
      </c>
      <c r="L30" s="73">
        <f t="shared" si="17"/>
        <v>3089.625</v>
      </c>
      <c r="M30" s="73">
        <f t="shared" si="17"/>
        <v>3089.625</v>
      </c>
      <c r="P30" s="11">
        <f>P29*P11</f>
        <v>37075.5</v>
      </c>
    </row>
    <row r="31" spans="1:22" x14ac:dyDescent="0.25">
      <c r="A31" s="29" t="s">
        <v>24</v>
      </c>
      <c r="B31" s="74">
        <f>B26+B30</f>
        <v>12179.109506666669</v>
      </c>
      <c r="C31" s="74">
        <f t="shared" ref="C31:M31" si="18">C26+C30</f>
        <v>16723.851760000001</v>
      </c>
      <c r="D31" s="74">
        <f t="shared" si="18"/>
        <v>21268.594013333339</v>
      </c>
      <c r="E31" s="74">
        <f t="shared" si="18"/>
        <v>25813.336266666673</v>
      </c>
      <c r="F31" s="74">
        <f t="shared" si="18"/>
        <v>37175.191900000005</v>
      </c>
      <c r="G31" s="74">
        <f t="shared" si="18"/>
        <v>53990.738237333338</v>
      </c>
      <c r="H31" s="74">
        <f t="shared" si="18"/>
        <v>53990.738237333338</v>
      </c>
      <c r="I31" s="74">
        <f t="shared" si="18"/>
        <v>53990.738237333338</v>
      </c>
      <c r="J31" s="74">
        <f t="shared" si="18"/>
        <v>53990.738237333338</v>
      </c>
      <c r="K31" s="74">
        <f t="shared" si="18"/>
        <v>53990.738237333338</v>
      </c>
      <c r="L31" s="74">
        <f t="shared" si="18"/>
        <v>53990.738237333338</v>
      </c>
      <c r="M31" s="74">
        <f t="shared" si="18"/>
        <v>54445.212462666685</v>
      </c>
      <c r="P31" s="11">
        <f>P26+P30</f>
        <v>491549.72533333342</v>
      </c>
    </row>
    <row r="32" spans="1:22" x14ac:dyDescent="0.25">
      <c r="A32" s="29" t="s">
        <v>384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27" x14ac:dyDescent="0.25">
      <c r="A33" s="33" t="s">
        <v>385</v>
      </c>
      <c r="B33" s="36">
        <v>0.5</v>
      </c>
      <c r="C33" s="36">
        <v>0.5</v>
      </c>
      <c r="D33" s="36">
        <v>0.5</v>
      </c>
      <c r="E33" s="36">
        <v>0.5</v>
      </c>
      <c r="F33" s="36">
        <v>0.5</v>
      </c>
      <c r="G33" s="36">
        <v>0.5</v>
      </c>
      <c r="H33" s="36">
        <v>0.5</v>
      </c>
      <c r="I33" s="36">
        <v>0.5</v>
      </c>
      <c r="J33" s="36">
        <v>0.5</v>
      </c>
      <c r="K33" s="36">
        <v>0.5</v>
      </c>
      <c r="L33" s="36">
        <v>0.5</v>
      </c>
      <c r="M33" s="36">
        <v>0.5</v>
      </c>
      <c r="P33" s="55">
        <v>0.5</v>
      </c>
    </row>
    <row r="34" spans="1:27" x14ac:dyDescent="0.25">
      <c r="A34" s="33" t="s">
        <v>386</v>
      </c>
      <c r="B34" s="36">
        <v>0.2</v>
      </c>
      <c r="C34" s="36">
        <v>0.2</v>
      </c>
      <c r="D34" s="36">
        <v>0.2</v>
      </c>
      <c r="E34" s="36">
        <v>0.2</v>
      </c>
      <c r="F34" s="36">
        <v>0.2</v>
      </c>
      <c r="G34" s="36">
        <v>0.2</v>
      </c>
      <c r="H34" s="36">
        <v>0.2</v>
      </c>
      <c r="I34" s="36">
        <v>0.2</v>
      </c>
      <c r="J34" s="36">
        <v>0.2</v>
      </c>
      <c r="K34" s="36">
        <v>0.2</v>
      </c>
      <c r="L34" s="36">
        <v>0.2</v>
      </c>
      <c r="M34" s="36">
        <v>0.2</v>
      </c>
      <c r="P34" s="55">
        <v>0.2</v>
      </c>
      <c r="Z34" s="15"/>
    </row>
    <row r="35" spans="1:27" x14ac:dyDescent="0.25">
      <c r="A35" s="33" t="s">
        <v>387</v>
      </c>
      <c r="B35" s="36">
        <v>0.3</v>
      </c>
      <c r="C35" s="36">
        <v>0.3</v>
      </c>
      <c r="D35" s="36">
        <v>0.3</v>
      </c>
      <c r="E35" s="36">
        <v>0.3</v>
      </c>
      <c r="F35" s="36">
        <v>0.3</v>
      </c>
      <c r="G35" s="36">
        <v>0.3</v>
      </c>
      <c r="H35" s="36">
        <v>0.3</v>
      </c>
      <c r="I35" s="36">
        <v>0.3</v>
      </c>
      <c r="J35" s="36">
        <v>0.3</v>
      </c>
      <c r="K35" s="36">
        <v>0.3</v>
      </c>
      <c r="L35" s="36">
        <v>0.3</v>
      </c>
      <c r="M35" s="36">
        <v>0.3</v>
      </c>
      <c r="P35" s="55">
        <v>0.3</v>
      </c>
      <c r="Z35" s="15"/>
      <c r="AA35" s="11"/>
    </row>
    <row r="36" spans="1:27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Z36" s="15"/>
      <c r="AA36" s="11"/>
    </row>
    <row r="37" spans="1:27" x14ac:dyDescent="0.25">
      <c r="A37" s="67" t="s">
        <v>388</v>
      </c>
      <c r="B37" s="75">
        <f>B31</f>
        <v>12179.109506666669</v>
      </c>
      <c r="C37" s="75">
        <f>C31</f>
        <v>16723.851760000001</v>
      </c>
      <c r="D37" s="75">
        <f t="shared" ref="D37:M37" si="19">D31</f>
        <v>21268.594013333339</v>
      </c>
      <c r="E37" s="75">
        <f t="shared" si="19"/>
        <v>25813.336266666673</v>
      </c>
      <c r="F37" s="75">
        <f t="shared" si="19"/>
        <v>37175.191900000005</v>
      </c>
      <c r="G37" s="75">
        <f t="shared" si="19"/>
        <v>53990.738237333338</v>
      </c>
      <c r="H37" s="75">
        <f t="shared" si="19"/>
        <v>53990.738237333338</v>
      </c>
      <c r="I37" s="75">
        <f t="shared" si="19"/>
        <v>53990.738237333338</v>
      </c>
      <c r="J37" s="75">
        <f t="shared" si="19"/>
        <v>53990.738237333338</v>
      </c>
      <c r="K37" s="75">
        <f t="shared" si="19"/>
        <v>53990.738237333338</v>
      </c>
      <c r="L37" s="75">
        <f t="shared" si="19"/>
        <v>53990.738237333338</v>
      </c>
      <c r="M37" s="75">
        <f t="shared" si="19"/>
        <v>54445.212462666685</v>
      </c>
      <c r="P37" s="36"/>
      <c r="Z37" s="15"/>
      <c r="AA37" s="11"/>
    </row>
    <row r="38" spans="1:27" x14ac:dyDescent="0.25">
      <c r="A38" s="26" t="s">
        <v>25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P38" s="27"/>
      <c r="Z38" s="15"/>
      <c r="AA38" s="11"/>
    </row>
    <row r="39" spans="1:27" x14ac:dyDescent="0.25">
      <c r="A39" s="29" t="s">
        <v>389</v>
      </c>
      <c r="B39" s="37">
        <f>$R$58*6650</f>
        <v>6650</v>
      </c>
      <c r="C39" s="37">
        <f>$R$58*6650</f>
        <v>6650</v>
      </c>
      <c r="D39" s="37">
        <f>$R$58*6650</f>
        <v>6650</v>
      </c>
      <c r="E39" s="37">
        <f t="shared" ref="E39:L39" si="20">$R$58*2227</f>
        <v>2227</v>
      </c>
      <c r="F39" s="37">
        <f t="shared" si="20"/>
        <v>2227</v>
      </c>
      <c r="G39" s="37">
        <f t="shared" si="20"/>
        <v>2227</v>
      </c>
      <c r="H39" s="37">
        <f t="shared" si="20"/>
        <v>2227</v>
      </c>
      <c r="I39" s="37">
        <f t="shared" si="20"/>
        <v>2227</v>
      </c>
      <c r="J39" s="37">
        <f t="shared" si="20"/>
        <v>2227</v>
      </c>
      <c r="K39" s="37">
        <f t="shared" si="20"/>
        <v>2227</v>
      </c>
      <c r="L39" s="37">
        <f t="shared" si="20"/>
        <v>2227</v>
      </c>
      <c r="M39" s="37">
        <f>$R$58*2234</f>
        <v>2234</v>
      </c>
      <c r="P39" s="37">
        <f>R58*40000</f>
        <v>40000</v>
      </c>
      <c r="Z39" s="15"/>
      <c r="AA39" s="11"/>
    </row>
    <row r="40" spans="1:27" x14ac:dyDescent="0.25">
      <c r="A40" s="33" t="s">
        <v>26</v>
      </c>
      <c r="B40" s="30">
        <f>B39*$A$44</f>
        <v>1662.5</v>
      </c>
      <c r="C40" s="30">
        <f t="shared" ref="C40:M40" si="21">C39*$A$44</f>
        <v>1662.5</v>
      </c>
      <c r="D40" s="30">
        <f t="shared" si="21"/>
        <v>1662.5</v>
      </c>
      <c r="E40" s="30">
        <f t="shared" si="21"/>
        <v>556.75</v>
      </c>
      <c r="F40" s="30">
        <f t="shared" si="21"/>
        <v>556.75</v>
      </c>
      <c r="G40" s="30">
        <f t="shared" si="21"/>
        <v>556.75</v>
      </c>
      <c r="H40" s="30">
        <f t="shared" si="21"/>
        <v>556.75</v>
      </c>
      <c r="I40" s="30">
        <f t="shared" si="21"/>
        <v>556.75</v>
      </c>
      <c r="J40" s="30">
        <f t="shared" si="21"/>
        <v>556.75</v>
      </c>
      <c r="K40" s="30">
        <f t="shared" si="21"/>
        <v>556.75</v>
      </c>
      <c r="L40" s="30">
        <f t="shared" si="21"/>
        <v>556.75</v>
      </c>
      <c r="M40" s="30">
        <f t="shared" si="21"/>
        <v>558.5</v>
      </c>
      <c r="P40" s="30">
        <f>P39*$A$44</f>
        <v>10000</v>
      </c>
      <c r="Z40" s="15"/>
      <c r="AA40" s="11"/>
    </row>
    <row r="41" spans="1:27" x14ac:dyDescent="0.25">
      <c r="A41" s="33" t="s">
        <v>27</v>
      </c>
      <c r="B41" s="30">
        <f>B39*$A$45</f>
        <v>3325</v>
      </c>
      <c r="C41" s="30">
        <f t="shared" ref="C41:M41" si="22">C39*$A$45</f>
        <v>3325</v>
      </c>
      <c r="D41" s="30">
        <f t="shared" si="22"/>
        <v>3325</v>
      </c>
      <c r="E41" s="30">
        <f t="shared" si="22"/>
        <v>1113.5</v>
      </c>
      <c r="F41" s="30">
        <f t="shared" si="22"/>
        <v>1113.5</v>
      </c>
      <c r="G41" s="30">
        <f t="shared" si="22"/>
        <v>1113.5</v>
      </c>
      <c r="H41" s="30">
        <f t="shared" si="22"/>
        <v>1113.5</v>
      </c>
      <c r="I41" s="30">
        <f t="shared" si="22"/>
        <v>1113.5</v>
      </c>
      <c r="J41" s="30">
        <f t="shared" si="22"/>
        <v>1113.5</v>
      </c>
      <c r="K41" s="30">
        <f t="shared" si="22"/>
        <v>1113.5</v>
      </c>
      <c r="L41" s="30">
        <f t="shared" si="22"/>
        <v>1113.5</v>
      </c>
      <c r="M41" s="30">
        <f t="shared" si="22"/>
        <v>1117</v>
      </c>
      <c r="P41" s="30">
        <f>P39*$A$45</f>
        <v>20000</v>
      </c>
      <c r="Z41" s="15"/>
      <c r="AA41" s="11"/>
    </row>
    <row r="42" spans="1:27" x14ac:dyDescent="0.25">
      <c r="A42" s="33" t="s">
        <v>28</v>
      </c>
      <c r="B42" s="30">
        <f>B39*$A$46</f>
        <v>1662.5</v>
      </c>
      <c r="C42" s="30">
        <f t="shared" ref="C42:M42" si="23">C39*$A$46</f>
        <v>1662.5</v>
      </c>
      <c r="D42" s="30">
        <f t="shared" si="23"/>
        <v>1662.5</v>
      </c>
      <c r="E42" s="30">
        <f t="shared" si="23"/>
        <v>556.75</v>
      </c>
      <c r="F42" s="30">
        <f t="shared" si="23"/>
        <v>556.75</v>
      </c>
      <c r="G42" s="30">
        <f t="shared" si="23"/>
        <v>556.75</v>
      </c>
      <c r="H42" s="30">
        <f t="shared" si="23"/>
        <v>556.75</v>
      </c>
      <c r="I42" s="30">
        <f t="shared" si="23"/>
        <v>556.75</v>
      </c>
      <c r="J42" s="30">
        <f t="shared" si="23"/>
        <v>556.75</v>
      </c>
      <c r="K42" s="30">
        <f t="shared" si="23"/>
        <v>556.75</v>
      </c>
      <c r="L42" s="30">
        <f t="shared" si="23"/>
        <v>556.75</v>
      </c>
      <c r="M42" s="30">
        <f t="shared" si="23"/>
        <v>558.5</v>
      </c>
      <c r="P42" s="30">
        <f>P39*$A$46</f>
        <v>10000</v>
      </c>
      <c r="Z42" s="15"/>
      <c r="AA42" s="11"/>
    </row>
    <row r="43" spans="1:27" hidden="1" x14ac:dyDescent="0.25">
      <c r="A43" s="31" t="s">
        <v>29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P43" s="3"/>
      <c r="Z43" s="15"/>
      <c r="AA43" s="11"/>
    </row>
    <row r="44" spans="1:27" hidden="1" x14ac:dyDescent="0.25">
      <c r="A44" s="39">
        <v>0.25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P44" s="3"/>
      <c r="Z44" s="15"/>
      <c r="AA44" s="11"/>
    </row>
    <row r="45" spans="1:27" hidden="1" x14ac:dyDescent="0.25">
      <c r="A45" s="39">
        <v>0.5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P45" s="3"/>
    </row>
    <row r="46" spans="1:27" hidden="1" x14ac:dyDescent="0.25">
      <c r="A46" s="39">
        <v>0.25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P46" s="3"/>
    </row>
    <row r="47" spans="1:27" x14ac:dyDescent="0.25">
      <c r="A47" s="3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O47" s="5"/>
      <c r="P47" s="3"/>
    </row>
    <row r="48" spans="1:27" x14ac:dyDescent="0.25">
      <c r="A48" s="29" t="s">
        <v>390</v>
      </c>
    </row>
    <row r="49" spans="1:18" x14ac:dyDescent="0.25">
      <c r="A49" s="33" t="s">
        <v>31</v>
      </c>
      <c r="B49" s="6">
        <v>2.5</v>
      </c>
      <c r="C49" s="6">
        <v>2.5</v>
      </c>
      <c r="D49" s="6">
        <v>2.5</v>
      </c>
      <c r="E49" s="6">
        <v>2.5</v>
      </c>
      <c r="F49" s="6">
        <v>2.5</v>
      </c>
      <c r="G49" s="6">
        <v>2.5</v>
      </c>
      <c r="H49" s="6">
        <v>2.5</v>
      </c>
      <c r="I49" s="6">
        <v>2.5</v>
      </c>
      <c r="J49" s="6">
        <v>2.5</v>
      </c>
      <c r="K49" s="6">
        <v>2.5</v>
      </c>
      <c r="L49" s="6">
        <v>2.5</v>
      </c>
      <c r="M49" s="6">
        <v>2.5</v>
      </c>
      <c r="P49" s="6">
        <v>2.5</v>
      </c>
      <c r="Q49" s="8"/>
    </row>
    <row r="50" spans="1:18" x14ac:dyDescent="0.25">
      <c r="A50" s="33" t="s">
        <v>32</v>
      </c>
      <c r="B50" s="6">
        <v>2</v>
      </c>
      <c r="C50" s="6">
        <v>2</v>
      </c>
      <c r="D50" s="6">
        <v>2</v>
      </c>
      <c r="E50" s="6">
        <v>2</v>
      </c>
      <c r="F50" s="6">
        <v>2</v>
      </c>
      <c r="G50" s="6">
        <v>2</v>
      </c>
      <c r="H50" s="6">
        <v>2</v>
      </c>
      <c r="I50" s="6">
        <v>2</v>
      </c>
      <c r="J50" s="6">
        <v>2</v>
      </c>
      <c r="K50" s="6">
        <v>2</v>
      </c>
      <c r="L50" s="6">
        <v>2</v>
      </c>
      <c r="M50" s="6">
        <v>2</v>
      </c>
      <c r="P50" s="6">
        <v>2</v>
      </c>
    </row>
    <row r="51" spans="1:18" x14ac:dyDescent="0.25">
      <c r="A51" s="33" t="s">
        <v>33</v>
      </c>
      <c r="B51" s="6">
        <v>1.5</v>
      </c>
      <c r="C51" s="6">
        <v>1.5</v>
      </c>
      <c r="D51" s="6">
        <v>1.5</v>
      </c>
      <c r="E51" s="6">
        <v>1.5</v>
      </c>
      <c r="F51" s="6">
        <v>1.5</v>
      </c>
      <c r="G51" s="6">
        <v>1.5</v>
      </c>
      <c r="H51" s="6">
        <v>1.5</v>
      </c>
      <c r="I51" s="6">
        <v>1.5</v>
      </c>
      <c r="J51" s="6">
        <v>1.5</v>
      </c>
      <c r="K51" s="6">
        <v>1.5</v>
      </c>
      <c r="L51" s="6">
        <v>1.5</v>
      </c>
      <c r="M51" s="6">
        <v>1.5</v>
      </c>
      <c r="P51" s="6">
        <v>1.5</v>
      </c>
    </row>
    <row r="52" spans="1:18" x14ac:dyDescent="0.25">
      <c r="A52" s="31" t="s">
        <v>34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P52" s="9"/>
    </row>
    <row r="53" spans="1:18" x14ac:dyDescent="0.25">
      <c r="A53" s="33" t="s">
        <v>31</v>
      </c>
      <c r="B53" s="3">
        <f>B40/B49</f>
        <v>665</v>
      </c>
      <c r="C53" s="3">
        <f t="shared" ref="C53:M55" si="24">C40/C49</f>
        <v>665</v>
      </c>
      <c r="D53" s="3">
        <f t="shared" si="24"/>
        <v>665</v>
      </c>
      <c r="E53" s="3">
        <f t="shared" si="24"/>
        <v>222.7</v>
      </c>
      <c r="F53" s="3">
        <f t="shared" si="24"/>
        <v>222.7</v>
      </c>
      <c r="G53" s="3">
        <f t="shared" si="24"/>
        <v>222.7</v>
      </c>
      <c r="H53" s="3">
        <f t="shared" si="24"/>
        <v>222.7</v>
      </c>
      <c r="I53" s="3">
        <f t="shared" si="24"/>
        <v>222.7</v>
      </c>
      <c r="J53" s="3">
        <f t="shared" si="24"/>
        <v>222.7</v>
      </c>
      <c r="K53" s="3">
        <f t="shared" si="24"/>
        <v>222.7</v>
      </c>
      <c r="L53" s="3">
        <f t="shared" si="24"/>
        <v>222.7</v>
      </c>
      <c r="M53" s="3">
        <f t="shared" si="24"/>
        <v>223.4</v>
      </c>
      <c r="O53" s="5"/>
      <c r="P53" s="3">
        <f>P40/P49</f>
        <v>4000</v>
      </c>
    </row>
    <row r="54" spans="1:18" x14ac:dyDescent="0.25">
      <c r="A54" s="33" t="s">
        <v>32</v>
      </c>
      <c r="B54" s="3">
        <f>B41/B50</f>
        <v>1662.5</v>
      </c>
      <c r="C54" s="3">
        <f>C41/C50</f>
        <v>1662.5</v>
      </c>
      <c r="D54" s="3">
        <f t="shared" si="24"/>
        <v>1662.5</v>
      </c>
      <c r="E54" s="3">
        <f>E41/E50</f>
        <v>556.75</v>
      </c>
      <c r="F54" s="3">
        <f t="shared" si="24"/>
        <v>556.75</v>
      </c>
      <c r="G54" s="3">
        <f t="shared" si="24"/>
        <v>556.75</v>
      </c>
      <c r="H54" s="3">
        <f t="shared" si="24"/>
        <v>556.75</v>
      </c>
      <c r="I54" s="3">
        <f t="shared" si="24"/>
        <v>556.75</v>
      </c>
      <c r="J54" s="3">
        <f t="shared" si="24"/>
        <v>556.75</v>
      </c>
      <c r="K54" s="3">
        <f t="shared" si="24"/>
        <v>556.75</v>
      </c>
      <c r="L54" s="3">
        <f t="shared" si="24"/>
        <v>556.75</v>
      </c>
      <c r="M54" s="3">
        <f t="shared" si="24"/>
        <v>558.5</v>
      </c>
      <c r="P54" s="3">
        <f>P41/P50</f>
        <v>10000</v>
      </c>
    </row>
    <row r="55" spans="1:18" x14ac:dyDescent="0.25">
      <c r="A55" s="33" t="s">
        <v>33</v>
      </c>
      <c r="B55" s="3">
        <f>B42/B51</f>
        <v>1108.3333333333333</v>
      </c>
      <c r="C55" s="3">
        <f t="shared" ref="C55:K55" si="25">C42/C51</f>
        <v>1108.3333333333333</v>
      </c>
      <c r="D55" s="3">
        <f t="shared" si="25"/>
        <v>1108.3333333333333</v>
      </c>
      <c r="E55" s="3">
        <f t="shared" si="25"/>
        <v>371.16666666666669</v>
      </c>
      <c r="F55" s="3">
        <f t="shared" si="25"/>
        <v>371.16666666666669</v>
      </c>
      <c r="G55" s="3">
        <f t="shared" si="25"/>
        <v>371.16666666666669</v>
      </c>
      <c r="H55" s="3">
        <f t="shared" si="25"/>
        <v>371.16666666666669</v>
      </c>
      <c r="I55" s="3">
        <f t="shared" si="25"/>
        <v>371.16666666666669</v>
      </c>
      <c r="J55" s="3">
        <f t="shared" si="25"/>
        <v>371.16666666666669</v>
      </c>
      <c r="K55" s="3">
        <f t="shared" si="25"/>
        <v>371.16666666666669</v>
      </c>
      <c r="L55" s="3">
        <f t="shared" si="24"/>
        <v>371.16666666666669</v>
      </c>
      <c r="M55" s="3">
        <f t="shared" si="24"/>
        <v>372.33333333333331</v>
      </c>
      <c r="P55" s="3">
        <f>P42/P51</f>
        <v>6666.666666666667</v>
      </c>
    </row>
    <row r="56" spans="1:18" x14ac:dyDescent="0.25">
      <c r="A56" s="7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P56" s="3"/>
    </row>
    <row r="57" spans="1:18" x14ac:dyDescent="0.25">
      <c r="A57" s="26" t="s">
        <v>35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P57" s="28"/>
    </row>
    <row r="58" spans="1:18" x14ac:dyDescent="0.25">
      <c r="A58" s="29" t="s">
        <v>36</v>
      </c>
      <c r="B58" s="37">
        <f t="shared" ref="B58:M58" si="26">SUM(B40:B42)</f>
        <v>6650</v>
      </c>
      <c r="C58" s="37">
        <f t="shared" si="26"/>
        <v>6650</v>
      </c>
      <c r="D58" s="37">
        <f t="shared" si="26"/>
        <v>6650</v>
      </c>
      <c r="E58" s="37">
        <f t="shared" si="26"/>
        <v>2227</v>
      </c>
      <c r="F58" s="37">
        <f t="shared" si="26"/>
        <v>2227</v>
      </c>
      <c r="G58" s="37">
        <f t="shared" si="26"/>
        <v>2227</v>
      </c>
      <c r="H58" s="37">
        <f t="shared" si="26"/>
        <v>2227</v>
      </c>
      <c r="I58" s="37">
        <f t="shared" si="26"/>
        <v>2227</v>
      </c>
      <c r="J58" s="37">
        <f t="shared" si="26"/>
        <v>2227</v>
      </c>
      <c r="K58" s="37">
        <f t="shared" si="26"/>
        <v>2227</v>
      </c>
      <c r="L58" s="37">
        <f t="shared" si="26"/>
        <v>2227</v>
      </c>
      <c r="M58" s="37">
        <f t="shared" si="26"/>
        <v>2234</v>
      </c>
      <c r="P58" s="37">
        <f>SUM(P40:P42)</f>
        <v>40000</v>
      </c>
      <c r="R58">
        <v>1</v>
      </c>
    </row>
    <row r="59" spans="1:18" x14ac:dyDescent="0.25">
      <c r="A59" s="29"/>
      <c r="B59" s="38"/>
      <c r="C59" s="38"/>
      <c r="D59" s="38"/>
      <c r="E59" s="38"/>
      <c r="F59" s="38"/>
      <c r="G59" s="38"/>
      <c r="H59" s="38"/>
      <c r="I59" s="38"/>
      <c r="J59" s="38"/>
      <c r="K59" s="38"/>
      <c r="P59" s="38"/>
    </row>
    <row r="60" spans="1:18" x14ac:dyDescent="0.25">
      <c r="A60" s="29" t="s">
        <v>37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P60" s="38"/>
    </row>
    <row r="61" spans="1:18" x14ac:dyDescent="0.25">
      <c r="A61" s="33" t="s">
        <v>359</v>
      </c>
      <c r="B61" s="58">
        <f>$P$61/12</f>
        <v>4166.666666666667</v>
      </c>
      <c r="C61" s="58">
        <f t="shared" ref="C61:M61" si="27">$P$61/12</f>
        <v>4166.666666666667</v>
      </c>
      <c r="D61" s="58">
        <f t="shared" si="27"/>
        <v>4166.666666666667</v>
      </c>
      <c r="E61" s="58">
        <f t="shared" si="27"/>
        <v>4166.666666666667</v>
      </c>
      <c r="F61" s="58">
        <f t="shared" si="27"/>
        <v>4166.666666666667</v>
      </c>
      <c r="G61" s="58">
        <f t="shared" si="27"/>
        <v>4166.666666666667</v>
      </c>
      <c r="H61" s="58">
        <f t="shared" si="27"/>
        <v>4166.666666666667</v>
      </c>
      <c r="I61" s="58">
        <f t="shared" si="27"/>
        <v>4166.666666666667</v>
      </c>
      <c r="J61" s="58">
        <f t="shared" si="27"/>
        <v>4166.666666666667</v>
      </c>
      <c r="K61" s="58">
        <f t="shared" si="27"/>
        <v>4166.666666666667</v>
      </c>
      <c r="L61" s="58">
        <f t="shared" si="27"/>
        <v>4166.666666666667</v>
      </c>
      <c r="M61" s="58">
        <f t="shared" si="27"/>
        <v>4166.666666666667</v>
      </c>
      <c r="P61" s="30">
        <v>50000</v>
      </c>
    </row>
    <row r="62" spans="1:18" x14ac:dyDescent="0.25">
      <c r="A62" s="40" t="s">
        <v>391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P62" s="3"/>
    </row>
    <row r="63" spans="1:18" x14ac:dyDescent="0.25">
      <c r="A63" s="33" t="s">
        <v>38</v>
      </c>
      <c r="B63" s="30">
        <f>$P$63/12</f>
        <v>0</v>
      </c>
      <c r="C63" s="30">
        <f t="shared" ref="C63:M63" si="28">$P$63/12</f>
        <v>0</v>
      </c>
      <c r="D63" s="30">
        <f t="shared" si="28"/>
        <v>0</v>
      </c>
      <c r="E63" s="30">
        <f t="shared" si="28"/>
        <v>0</v>
      </c>
      <c r="F63" s="30">
        <f t="shared" si="28"/>
        <v>0</v>
      </c>
      <c r="G63" s="30">
        <f t="shared" si="28"/>
        <v>0</v>
      </c>
      <c r="H63" s="30">
        <f t="shared" si="28"/>
        <v>0</v>
      </c>
      <c r="I63" s="30">
        <f t="shared" si="28"/>
        <v>0</v>
      </c>
      <c r="J63" s="30">
        <f t="shared" si="28"/>
        <v>0</v>
      </c>
      <c r="K63" s="30">
        <f t="shared" si="28"/>
        <v>0</v>
      </c>
      <c r="L63" s="30">
        <f t="shared" si="28"/>
        <v>0</v>
      </c>
      <c r="M63" s="30">
        <f t="shared" si="28"/>
        <v>0</v>
      </c>
      <c r="P63" s="30">
        <f>20000*P62</f>
        <v>0</v>
      </c>
    </row>
    <row r="64" spans="1:18" x14ac:dyDescent="0.25">
      <c r="A64" s="41" t="s">
        <v>392</v>
      </c>
      <c r="B64" s="3">
        <v>1</v>
      </c>
      <c r="C64" s="3">
        <v>1</v>
      </c>
      <c r="D64" s="3">
        <v>1</v>
      </c>
      <c r="E64" s="3">
        <v>1</v>
      </c>
      <c r="F64" s="3">
        <v>1</v>
      </c>
      <c r="G64" s="3">
        <v>1</v>
      </c>
      <c r="H64" s="3">
        <v>1</v>
      </c>
      <c r="I64" s="3">
        <v>1</v>
      </c>
      <c r="J64" s="3">
        <v>1</v>
      </c>
      <c r="K64" s="3">
        <v>1</v>
      </c>
      <c r="L64" s="3">
        <v>1</v>
      </c>
      <c r="M64" s="3">
        <v>1</v>
      </c>
      <c r="P64" s="3">
        <v>1</v>
      </c>
    </row>
    <row r="65" spans="1:16" x14ac:dyDescent="0.25">
      <c r="A65" s="33" t="s">
        <v>39</v>
      </c>
      <c r="B65" s="30">
        <f>$P$65/12</f>
        <v>2500</v>
      </c>
      <c r="C65" s="30">
        <f t="shared" ref="C65:M65" si="29">$P$65/12</f>
        <v>2500</v>
      </c>
      <c r="D65" s="30">
        <f t="shared" si="29"/>
        <v>2500</v>
      </c>
      <c r="E65" s="30">
        <f t="shared" si="29"/>
        <v>2500</v>
      </c>
      <c r="F65" s="30">
        <f t="shared" si="29"/>
        <v>2500</v>
      </c>
      <c r="G65" s="30">
        <f t="shared" si="29"/>
        <v>2500</v>
      </c>
      <c r="H65" s="30">
        <f t="shared" si="29"/>
        <v>2500</v>
      </c>
      <c r="I65" s="30">
        <f t="shared" si="29"/>
        <v>2500</v>
      </c>
      <c r="J65" s="30">
        <f t="shared" si="29"/>
        <v>2500</v>
      </c>
      <c r="K65" s="30">
        <f t="shared" si="29"/>
        <v>2500</v>
      </c>
      <c r="L65" s="30">
        <f t="shared" si="29"/>
        <v>2500</v>
      </c>
      <c r="M65" s="30">
        <f t="shared" si="29"/>
        <v>2500</v>
      </c>
      <c r="P65" s="30">
        <f>30000*P64</f>
        <v>30000</v>
      </c>
    </row>
    <row r="66" spans="1:16" x14ac:dyDescent="0.25">
      <c r="A66" s="31" t="s">
        <v>40</v>
      </c>
      <c r="B66" s="37">
        <f>SUM(B65,B63,B61)</f>
        <v>6666.666666666667</v>
      </c>
      <c r="C66" s="37">
        <f t="shared" ref="C66:M66" si="30">SUM(C65,C63,C61)</f>
        <v>6666.666666666667</v>
      </c>
      <c r="D66" s="37">
        <f t="shared" si="30"/>
        <v>6666.666666666667</v>
      </c>
      <c r="E66" s="37">
        <f t="shared" si="30"/>
        <v>6666.666666666667</v>
      </c>
      <c r="F66" s="37">
        <f t="shared" si="30"/>
        <v>6666.666666666667</v>
      </c>
      <c r="G66" s="37">
        <f t="shared" si="30"/>
        <v>6666.666666666667</v>
      </c>
      <c r="H66" s="37">
        <f t="shared" si="30"/>
        <v>6666.666666666667</v>
      </c>
      <c r="I66" s="37">
        <f t="shared" si="30"/>
        <v>6666.666666666667</v>
      </c>
      <c r="J66" s="37">
        <f t="shared" si="30"/>
        <v>6666.666666666667</v>
      </c>
      <c r="K66" s="37">
        <f t="shared" si="30"/>
        <v>6666.666666666667</v>
      </c>
      <c r="L66" s="37">
        <f t="shared" si="30"/>
        <v>6666.666666666667</v>
      </c>
      <c r="M66" s="37">
        <f t="shared" si="30"/>
        <v>6666.666666666667</v>
      </c>
      <c r="P66" s="37">
        <f>SUM(P65,P63)</f>
        <v>30000</v>
      </c>
    </row>
    <row r="67" spans="1:16" x14ac:dyDescent="0.25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  <c r="P67" s="3"/>
    </row>
    <row r="68" spans="1:16" x14ac:dyDescent="0.25">
      <c r="A68" s="29" t="s">
        <v>393</v>
      </c>
      <c r="B68" s="3"/>
      <c r="C68" s="3"/>
      <c r="D68" s="3"/>
      <c r="E68" s="3"/>
      <c r="F68" s="3"/>
      <c r="G68" s="3"/>
      <c r="H68" s="3"/>
      <c r="I68" s="3"/>
      <c r="J68" s="3"/>
      <c r="K68" s="3"/>
      <c r="P68" s="3"/>
    </row>
    <row r="69" spans="1:16" x14ac:dyDescent="0.25">
      <c r="A69" s="33" t="s">
        <v>41</v>
      </c>
      <c r="B69" s="30">
        <f>$P$69/12</f>
        <v>416.66666666666669</v>
      </c>
      <c r="C69" s="30">
        <f t="shared" ref="C69:M69" si="31">$P$69/12</f>
        <v>416.66666666666669</v>
      </c>
      <c r="D69" s="30">
        <f t="shared" si="31"/>
        <v>416.66666666666669</v>
      </c>
      <c r="E69" s="30">
        <f t="shared" si="31"/>
        <v>416.66666666666669</v>
      </c>
      <c r="F69" s="30">
        <f t="shared" si="31"/>
        <v>416.66666666666669</v>
      </c>
      <c r="G69" s="30">
        <f t="shared" si="31"/>
        <v>416.66666666666669</v>
      </c>
      <c r="H69" s="30">
        <f t="shared" si="31"/>
        <v>416.66666666666669</v>
      </c>
      <c r="I69" s="30">
        <f t="shared" si="31"/>
        <v>416.66666666666669</v>
      </c>
      <c r="J69" s="30">
        <f t="shared" si="31"/>
        <v>416.66666666666669</v>
      </c>
      <c r="K69" s="30">
        <f t="shared" si="31"/>
        <v>416.66666666666669</v>
      </c>
      <c r="L69" s="30">
        <f t="shared" si="31"/>
        <v>416.66666666666669</v>
      </c>
      <c r="M69" s="30">
        <f t="shared" si="31"/>
        <v>416.66666666666669</v>
      </c>
      <c r="P69" s="30">
        <v>5000</v>
      </c>
    </row>
    <row r="70" spans="1:16" x14ac:dyDescent="0.25">
      <c r="A70" s="33" t="s">
        <v>42</v>
      </c>
      <c r="B70" s="30">
        <f>$P$70/12</f>
        <v>166.66666666666666</v>
      </c>
      <c r="C70" s="30">
        <f t="shared" ref="C70:L70" si="32">$P$70/12</f>
        <v>166.66666666666666</v>
      </c>
      <c r="D70" s="30">
        <f t="shared" si="32"/>
        <v>166.66666666666666</v>
      </c>
      <c r="E70" s="30">
        <f t="shared" si="32"/>
        <v>166.66666666666666</v>
      </c>
      <c r="F70" s="30">
        <f t="shared" si="32"/>
        <v>166.66666666666666</v>
      </c>
      <c r="G70" s="30">
        <f t="shared" si="32"/>
        <v>166.66666666666666</v>
      </c>
      <c r="H70" s="30">
        <f t="shared" si="32"/>
        <v>166.66666666666666</v>
      </c>
      <c r="I70" s="30">
        <f t="shared" si="32"/>
        <v>166.66666666666666</v>
      </c>
      <c r="J70" s="30">
        <f t="shared" si="32"/>
        <v>166.66666666666666</v>
      </c>
      <c r="K70" s="30">
        <f t="shared" si="32"/>
        <v>166.66666666666666</v>
      </c>
      <c r="L70" s="30">
        <f t="shared" si="32"/>
        <v>166.66666666666666</v>
      </c>
      <c r="M70" s="30">
        <f>$P$70/12</f>
        <v>166.66666666666666</v>
      </c>
      <c r="P70" s="30">
        <v>2000</v>
      </c>
    </row>
    <row r="71" spans="1:16" x14ac:dyDescent="0.25">
      <c r="A71" s="4"/>
      <c r="B71" s="30"/>
      <c r="C71" s="30"/>
      <c r="D71" s="30"/>
      <c r="E71" s="30"/>
      <c r="F71" s="30"/>
      <c r="G71" s="30"/>
      <c r="H71" s="30"/>
      <c r="I71" s="30"/>
      <c r="J71" s="30"/>
      <c r="K71" s="30"/>
      <c r="P71" s="30"/>
    </row>
    <row r="72" spans="1:16" x14ac:dyDescent="0.25">
      <c r="A72" s="29" t="s">
        <v>43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P72" s="30"/>
    </row>
    <row r="73" spans="1:16" x14ac:dyDescent="0.25">
      <c r="A73" s="33" t="s">
        <v>44</v>
      </c>
      <c r="B73" s="30">
        <f>$P$73/12</f>
        <v>8.25</v>
      </c>
      <c r="C73" s="30">
        <f t="shared" ref="C73:M73" si="33">$P$73/12</f>
        <v>8.25</v>
      </c>
      <c r="D73" s="30">
        <f t="shared" si="33"/>
        <v>8.25</v>
      </c>
      <c r="E73" s="30">
        <f t="shared" si="33"/>
        <v>8.25</v>
      </c>
      <c r="F73" s="30">
        <f t="shared" si="33"/>
        <v>8.25</v>
      </c>
      <c r="G73" s="30">
        <f t="shared" si="33"/>
        <v>8.25</v>
      </c>
      <c r="H73" s="30">
        <f t="shared" si="33"/>
        <v>8.25</v>
      </c>
      <c r="I73" s="30">
        <f t="shared" si="33"/>
        <v>8.25</v>
      </c>
      <c r="J73" s="30">
        <f t="shared" si="33"/>
        <v>8.25</v>
      </c>
      <c r="K73" s="30">
        <f t="shared" si="33"/>
        <v>8.25</v>
      </c>
      <c r="L73" s="30">
        <f t="shared" si="33"/>
        <v>8.25</v>
      </c>
      <c r="M73" s="30">
        <f t="shared" si="33"/>
        <v>8.25</v>
      </c>
      <c r="P73" s="30">
        <v>99</v>
      </c>
    </row>
    <row r="74" spans="1:16" x14ac:dyDescent="0.25">
      <c r="A74" s="33" t="s">
        <v>45</v>
      </c>
      <c r="B74" s="30">
        <f>$P$74/12</f>
        <v>21</v>
      </c>
      <c r="C74" s="30">
        <f t="shared" ref="C74:M74" si="34">$P$74/12</f>
        <v>21</v>
      </c>
      <c r="D74" s="30">
        <f t="shared" si="34"/>
        <v>21</v>
      </c>
      <c r="E74" s="30">
        <f t="shared" si="34"/>
        <v>21</v>
      </c>
      <c r="F74" s="30">
        <f t="shared" si="34"/>
        <v>21</v>
      </c>
      <c r="G74" s="30">
        <f t="shared" si="34"/>
        <v>21</v>
      </c>
      <c r="H74" s="30">
        <f t="shared" si="34"/>
        <v>21</v>
      </c>
      <c r="I74" s="30">
        <f t="shared" si="34"/>
        <v>21</v>
      </c>
      <c r="J74" s="30">
        <f t="shared" si="34"/>
        <v>21</v>
      </c>
      <c r="K74" s="30">
        <f t="shared" si="34"/>
        <v>21</v>
      </c>
      <c r="L74" s="30">
        <f t="shared" si="34"/>
        <v>21</v>
      </c>
      <c r="M74" s="30">
        <f t="shared" si="34"/>
        <v>21</v>
      </c>
      <c r="P74" s="30">
        <v>252</v>
      </c>
    </row>
    <row r="75" spans="1:16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P75" s="4"/>
    </row>
    <row r="76" spans="1:16" x14ac:dyDescent="0.25">
      <c r="A76" s="31" t="s">
        <v>394</v>
      </c>
      <c r="B76" s="32"/>
      <c r="C76" s="32"/>
      <c r="D76" s="32"/>
      <c r="E76" s="32"/>
      <c r="F76" s="32"/>
      <c r="G76" s="32"/>
      <c r="H76" s="32"/>
      <c r="I76" s="32"/>
      <c r="J76" s="32"/>
      <c r="K76" s="32"/>
      <c r="O76" s="5"/>
      <c r="P76" s="32"/>
    </row>
    <row r="77" spans="1:16" x14ac:dyDescent="0.25">
      <c r="A77" s="33" t="s">
        <v>46</v>
      </c>
      <c r="B77" s="30">
        <f>$P$77/12</f>
        <v>49.083333333333336</v>
      </c>
      <c r="C77" s="30">
        <f t="shared" ref="C77:M77" si="35">$P$77/12</f>
        <v>49.083333333333336</v>
      </c>
      <c r="D77" s="30">
        <f t="shared" si="35"/>
        <v>49.083333333333336</v>
      </c>
      <c r="E77" s="30">
        <f t="shared" si="35"/>
        <v>49.083333333333336</v>
      </c>
      <c r="F77" s="30">
        <f t="shared" si="35"/>
        <v>49.083333333333336</v>
      </c>
      <c r="G77" s="30">
        <f t="shared" si="35"/>
        <v>49.083333333333336</v>
      </c>
      <c r="H77" s="30">
        <f t="shared" si="35"/>
        <v>49.083333333333336</v>
      </c>
      <c r="I77" s="30">
        <f t="shared" si="35"/>
        <v>49.083333333333336</v>
      </c>
      <c r="J77" s="30">
        <f t="shared" si="35"/>
        <v>49.083333333333336</v>
      </c>
      <c r="K77" s="30">
        <f t="shared" si="35"/>
        <v>49.083333333333336</v>
      </c>
      <c r="L77" s="30">
        <f t="shared" si="35"/>
        <v>49.083333333333336</v>
      </c>
      <c r="M77" s="30">
        <f t="shared" si="35"/>
        <v>49.083333333333336</v>
      </c>
      <c r="O77" s="5"/>
      <c r="P77" s="30">
        <v>589</v>
      </c>
    </row>
    <row r="78" spans="1:16" x14ac:dyDescent="0.25">
      <c r="A78" s="33" t="s">
        <v>47</v>
      </c>
      <c r="B78" s="30">
        <f>$P$78/12</f>
        <v>33.416666666666664</v>
      </c>
      <c r="C78" s="30">
        <f t="shared" ref="C78:M78" si="36">$P$78/12</f>
        <v>33.416666666666664</v>
      </c>
      <c r="D78" s="30">
        <f t="shared" si="36"/>
        <v>33.416666666666664</v>
      </c>
      <c r="E78" s="30">
        <f t="shared" si="36"/>
        <v>33.416666666666664</v>
      </c>
      <c r="F78" s="30">
        <f t="shared" si="36"/>
        <v>33.416666666666664</v>
      </c>
      <c r="G78" s="30">
        <f t="shared" si="36"/>
        <v>33.416666666666664</v>
      </c>
      <c r="H78" s="30">
        <f t="shared" si="36"/>
        <v>33.416666666666664</v>
      </c>
      <c r="I78" s="30">
        <f t="shared" si="36"/>
        <v>33.416666666666664</v>
      </c>
      <c r="J78" s="30">
        <f t="shared" si="36"/>
        <v>33.416666666666664</v>
      </c>
      <c r="K78" s="30">
        <f t="shared" si="36"/>
        <v>33.416666666666664</v>
      </c>
      <c r="L78" s="30">
        <f t="shared" si="36"/>
        <v>33.416666666666664</v>
      </c>
      <c r="M78" s="30">
        <f t="shared" si="36"/>
        <v>33.416666666666664</v>
      </c>
      <c r="O78" s="5"/>
      <c r="P78" s="30">
        <v>401</v>
      </c>
    </row>
    <row r="79" spans="1:16" x14ac:dyDescent="0.25">
      <c r="A79" s="33" t="s">
        <v>48</v>
      </c>
      <c r="B79" s="30">
        <f>$P$79/12</f>
        <v>15</v>
      </c>
      <c r="C79" s="30">
        <f t="shared" ref="C79:M79" si="37">$P$79/12</f>
        <v>15</v>
      </c>
      <c r="D79" s="30">
        <f t="shared" si="37"/>
        <v>15</v>
      </c>
      <c r="E79" s="30">
        <f t="shared" si="37"/>
        <v>15</v>
      </c>
      <c r="F79" s="30">
        <f t="shared" si="37"/>
        <v>15</v>
      </c>
      <c r="G79" s="30">
        <f t="shared" si="37"/>
        <v>15</v>
      </c>
      <c r="H79" s="30">
        <f t="shared" si="37"/>
        <v>15</v>
      </c>
      <c r="I79" s="30">
        <f t="shared" si="37"/>
        <v>15</v>
      </c>
      <c r="J79" s="30">
        <f t="shared" si="37"/>
        <v>15</v>
      </c>
      <c r="K79" s="30">
        <f t="shared" si="37"/>
        <v>15</v>
      </c>
      <c r="L79" s="30">
        <f t="shared" si="37"/>
        <v>15</v>
      </c>
      <c r="M79" s="30">
        <f t="shared" si="37"/>
        <v>15</v>
      </c>
      <c r="O79" s="5"/>
      <c r="P79" s="30">
        <v>180</v>
      </c>
    </row>
    <row r="80" spans="1:16" x14ac:dyDescent="0.25">
      <c r="A80" s="33" t="s">
        <v>49</v>
      </c>
      <c r="B80" s="30">
        <f>$P$80/12</f>
        <v>21.416666666666668</v>
      </c>
      <c r="C80" s="30">
        <f t="shared" ref="C80:M80" si="38">$P$80/12</f>
        <v>21.416666666666668</v>
      </c>
      <c r="D80" s="30">
        <f t="shared" si="38"/>
        <v>21.416666666666668</v>
      </c>
      <c r="E80" s="30">
        <f t="shared" si="38"/>
        <v>21.416666666666668</v>
      </c>
      <c r="F80" s="30">
        <f t="shared" si="38"/>
        <v>21.416666666666668</v>
      </c>
      <c r="G80" s="30">
        <f t="shared" si="38"/>
        <v>21.416666666666668</v>
      </c>
      <c r="H80" s="30">
        <f t="shared" si="38"/>
        <v>21.416666666666668</v>
      </c>
      <c r="I80" s="30">
        <f t="shared" si="38"/>
        <v>21.416666666666668</v>
      </c>
      <c r="J80" s="30">
        <f t="shared" si="38"/>
        <v>21.416666666666668</v>
      </c>
      <c r="K80" s="30">
        <f t="shared" si="38"/>
        <v>21.416666666666668</v>
      </c>
      <c r="L80" s="30">
        <f t="shared" si="38"/>
        <v>21.416666666666668</v>
      </c>
      <c r="M80" s="30">
        <f t="shared" si="38"/>
        <v>21.416666666666668</v>
      </c>
      <c r="O80" s="5"/>
      <c r="P80" s="30">
        <v>257</v>
      </c>
    </row>
    <row r="81" spans="1:34" x14ac:dyDescent="0.25">
      <c r="A81" s="33" t="s">
        <v>50</v>
      </c>
      <c r="B81" s="30">
        <f>$P$81/12</f>
        <v>2.5833333333333335</v>
      </c>
      <c r="C81" s="30">
        <f t="shared" ref="C81:M81" si="39">$P$81/12</f>
        <v>2.5833333333333335</v>
      </c>
      <c r="D81" s="30">
        <f t="shared" si="39"/>
        <v>2.5833333333333335</v>
      </c>
      <c r="E81" s="30">
        <f t="shared" si="39"/>
        <v>2.5833333333333335</v>
      </c>
      <c r="F81" s="30">
        <f t="shared" si="39"/>
        <v>2.5833333333333335</v>
      </c>
      <c r="G81" s="30">
        <f t="shared" si="39"/>
        <v>2.5833333333333335</v>
      </c>
      <c r="H81" s="30">
        <f t="shared" si="39"/>
        <v>2.5833333333333335</v>
      </c>
      <c r="I81" s="30">
        <f t="shared" si="39"/>
        <v>2.5833333333333335</v>
      </c>
      <c r="J81" s="30">
        <f t="shared" si="39"/>
        <v>2.5833333333333335</v>
      </c>
      <c r="K81" s="30">
        <f t="shared" si="39"/>
        <v>2.5833333333333335</v>
      </c>
      <c r="L81" s="30">
        <f t="shared" si="39"/>
        <v>2.5833333333333335</v>
      </c>
      <c r="M81" s="30">
        <f t="shared" si="39"/>
        <v>2.5833333333333335</v>
      </c>
      <c r="O81" s="5"/>
      <c r="P81" s="30">
        <v>31</v>
      </c>
    </row>
    <row r="82" spans="1:34" x14ac:dyDescent="0.25">
      <c r="A82" s="33" t="s">
        <v>51</v>
      </c>
      <c r="B82" s="30">
        <f>$P$82/12</f>
        <v>6.25</v>
      </c>
      <c r="C82" s="30">
        <f t="shared" ref="C82:M82" si="40">$P$82/12</f>
        <v>6.25</v>
      </c>
      <c r="D82" s="30">
        <f t="shared" si="40"/>
        <v>6.25</v>
      </c>
      <c r="E82" s="30">
        <f t="shared" si="40"/>
        <v>6.25</v>
      </c>
      <c r="F82" s="30">
        <f t="shared" si="40"/>
        <v>6.25</v>
      </c>
      <c r="G82" s="30">
        <f t="shared" si="40"/>
        <v>6.25</v>
      </c>
      <c r="H82" s="30">
        <f t="shared" si="40"/>
        <v>6.25</v>
      </c>
      <c r="I82" s="30">
        <f t="shared" si="40"/>
        <v>6.25</v>
      </c>
      <c r="J82" s="30">
        <f t="shared" si="40"/>
        <v>6.25</v>
      </c>
      <c r="K82" s="30">
        <f t="shared" si="40"/>
        <v>6.25</v>
      </c>
      <c r="L82" s="30">
        <f t="shared" si="40"/>
        <v>6.25</v>
      </c>
      <c r="M82" s="30">
        <f t="shared" si="40"/>
        <v>6.25</v>
      </c>
      <c r="O82" s="5"/>
      <c r="P82" s="30">
        <v>75</v>
      </c>
    </row>
    <row r="83" spans="1:34" x14ac:dyDescent="0.25">
      <c r="A83" s="33" t="s">
        <v>52</v>
      </c>
      <c r="B83" s="30">
        <f>$P$83/12</f>
        <v>24.166666666666668</v>
      </c>
      <c r="C83" s="30">
        <f t="shared" ref="C83:M83" si="41">$P$83/12</f>
        <v>24.166666666666668</v>
      </c>
      <c r="D83" s="30">
        <f t="shared" si="41"/>
        <v>24.166666666666668</v>
      </c>
      <c r="E83" s="30">
        <f t="shared" si="41"/>
        <v>24.166666666666668</v>
      </c>
      <c r="F83" s="30">
        <f t="shared" si="41"/>
        <v>24.166666666666668</v>
      </c>
      <c r="G83" s="30">
        <f t="shared" si="41"/>
        <v>24.166666666666668</v>
      </c>
      <c r="H83" s="30">
        <f t="shared" si="41"/>
        <v>24.166666666666668</v>
      </c>
      <c r="I83" s="30">
        <f t="shared" si="41"/>
        <v>24.166666666666668</v>
      </c>
      <c r="J83" s="30">
        <f t="shared" si="41"/>
        <v>24.166666666666668</v>
      </c>
      <c r="K83" s="30">
        <f t="shared" si="41"/>
        <v>24.166666666666668</v>
      </c>
      <c r="L83" s="30">
        <f t="shared" si="41"/>
        <v>24.166666666666668</v>
      </c>
      <c r="M83" s="30">
        <f t="shared" si="41"/>
        <v>24.166666666666668</v>
      </c>
      <c r="O83" s="5"/>
      <c r="P83" s="30">
        <v>290</v>
      </c>
    </row>
    <row r="84" spans="1:34" x14ac:dyDescent="0.25">
      <c r="A84" s="33" t="s">
        <v>53</v>
      </c>
      <c r="B84" s="30">
        <v>0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O84" s="5"/>
      <c r="P84" s="30">
        <v>0</v>
      </c>
    </row>
    <row r="85" spans="1:34" x14ac:dyDescent="0.25">
      <c r="A85" s="33" t="s">
        <v>54</v>
      </c>
      <c r="B85" s="6">
        <f>$P$85/12</f>
        <v>0.16666666666666666</v>
      </c>
      <c r="C85" s="6">
        <f t="shared" ref="C85:M85" si="42">$P$85/12</f>
        <v>0.16666666666666666</v>
      </c>
      <c r="D85" s="6">
        <f t="shared" si="42"/>
        <v>0.16666666666666666</v>
      </c>
      <c r="E85" s="6">
        <f t="shared" si="42"/>
        <v>0.16666666666666666</v>
      </c>
      <c r="F85" s="6">
        <f t="shared" si="42"/>
        <v>0.16666666666666666</v>
      </c>
      <c r="G85" s="6">
        <f t="shared" si="42"/>
        <v>0.16666666666666666</v>
      </c>
      <c r="H85" s="6">
        <f t="shared" si="42"/>
        <v>0.16666666666666666</v>
      </c>
      <c r="I85" s="6">
        <f t="shared" si="42"/>
        <v>0.16666666666666666</v>
      </c>
      <c r="J85" s="6">
        <f t="shared" si="42"/>
        <v>0.16666666666666666</v>
      </c>
      <c r="K85" s="6">
        <f t="shared" si="42"/>
        <v>0.16666666666666666</v>
      </c>
      <c r="L85" s="6">
        <f t="shared" si="42"/>
        <v>0.16666666666666666</v>
      </c>
      <c r="M85" s="6">
        <f t="shared" si="42"/>
        <v>0.16666666666666666</v>
      </c>
      <c r="O85" s="5"/>
      <c r="P85" s="30">
        <v>2</v>
      </c>
    </row>
    <row r="86" spans="1:34" x14ac:dyDescent="0.25">
      <c r="A86" s="33" t="s">
        <v>55</v>
      </c>
      <c r="B86" s="30">
        <f>$P$86/12</f>
        <v>13.083333333333334</v>
      </c>
      <c r="C86" s="30">
        <f t="shared" ref="C86:M86" si="43">$P$86/12</f>
        <v>13.083333333333334</v>
      </c>
      <c r="D86" s="30">
        <f t="shared" si="43"/>
        <v>13.083333333333334</v>
      </c>
      <c r="E86" s="30">
        <f t="shared" si="43"/>
        <v>13.083333333333334</v>
      </c>
      <c r="F86" s="30">
        <f t="shared" si="43"/>
        <v>13.083333333333334</v>
      </c>
      <c r="G86" s="30">
        <f t="shared" si="43"/>
        <v>13.083333333333334</v>
      </c>
      <c r="H86" s="30">
        <f t="shared" si="43"/>
        <v>13.083333333333334</v>
      </c>
      <c r="I86" s="30">
        <f t="shared" si="43"/>
        <v>13.083333333333334</v>
      </c>
      <c r="J86" s="30">
        <f t="shared" si="43"/>
        <v>13.083333333333334</v>
      </c>
      <c r="K86" s="30">
        <f t="shared" si="43"/>
        <v>13.083333333333334</v>
      </c>
      <c r="L86" s="30">
        <f t="shared" si="43"/>
        <v>13.083333333333334</v>
      </c>
      <c r="M86" s="30">
        <f t="shared" si="43"/>
        <v>13.083333333333334</v>
      </c>
      <c r="O86" s="5"/>
      <c r="P86" s="30">
        <v>157</v>
      </c>
    </row>
    <row r="87" spans="1:34" x14ac:dyDescent="0.25">
      <c r="A87" s="33" t="s">
        <v>56</v>
      </c>
      <c r="B87" s="30">
        <f>$P$87/12</f>
        <v>3.5</v>
      </c>
      <c r="C87" s="30">
        <f t="shared" ref="C87:M87" si="44">$P$87/12</f>
        <v>3.5</v>
      </c>
      <c r="D87" s="30">
        <f t="shared" si="44"/>
        <v>3.5</v>
      </c>
      <c r="E87" s="30">
        <f t="shared" si="44"/>
        <v>3.5</v>
      </c>
      <c r="F87" s="30">
        <f t="shared" si="44"/>
        <v>3.5</v>
      </c>
      <c r="G87" s="30">
        <f t="shared" si="44"/>
        <v>3.5</v>
      </c>
      <c r="H87" s="30">
        <f t="shared" si="44"/>
        <v>3.5</v>
      </c>
      <c r="I87" s="30">
        <f t="shared" si="44"/>
        <v>3.5</v>
      </c>
      <c r="J87" s="30">
        <f t="shared" si="44"/>
        <v>3.5</v>
      </c>
      <c r="K87" s="30">
        <f t="shared" si="44"/>
        <v>3.5</v>
      </c>
      <c r="L87" s="30">
        <f t="shared" si="44"/>
        <v>3.5</v>
      </c>
      <c r="M87" s="30">
        <f t="shared" si="44"/>
        <v>3.5</v>
      </c>
      <c r="O87" s="5"/>
      <c r="P87" s="30">
        <v>42</v>
      </c>
    </row>
    <row r="88" spans="1:34" x14ac:dyDescent="0.25">
      <c r="A88" s="33" t="s">
        <v>57</v>
      </c>
      <c r="B88" s="30">
        <v>0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O88" s="5"/>
      <c r="P88" s="30">
        <v>0</v>
      </c>
    </row>
    <row r="89" spans="1:34" x14ac:dyDescent="0.25">
      <c r="A89" s="33" t="s">
        <v>58</v>
      </c>
      <c r="B89" s="30">
        <f>$P$89/12</f>
        <v>27.583333333333332</v>
      </c>
      <c r="C89" s="30">
        <f t="shared" ref="C89:M89" si="45">$P$89/12</f>
        <v>27.583333333333332</v>
      </c>
      <c r="D89" s="30">
        <f t="shared" si="45"/>
        <v>27.583333333333332</v>
      </c>
      <c r="E89" s="30">
        <f t="shared" si="45"/>
        <v>27.583333333333332</v>
      </c>
      <c r="F89" s="30">
        <f t="shared" si="45"/>
        <v>27.583333333333332</v>
      </c>
      <c r="G89" s="30">
        <f t="shared" si="45"/>
        <v>27.583333333333332</v>
      </c>
      <c r="H89" s="30">
        <f t="shared" si="45"/>
        <v>27.583333333333332</v>
      </c>
      <c r="I89" s="30">
        <f t="shared" si="45"/>
        <v>27.583333333333332</v>
      </c>
      <c r="J89" s="30">
        <f t="shared" si="45"/>
        <v>27.583333333333332</v>
      </c>
      <c r="K89" s="30">
        <f t="shared" si="45"/>
        <v>27.583333333333332</v>
      </c>
      <c r="L89" s="30">
        <f t="shared" si="45"/>
        <v>27.583333333333332</v>
      </c>
      <c r="M89" s="30">
        <f t="shared" si="45"/>
        <v>27.583333333333332</v>
      </c>
      <c r="O89" s="5"/>
      <c r="P89" s="30">
        <v>331</v>
      </c>
    </row>
    <row r="90" spans="1:34" x14ac:dyDescent="0.25">
      <c r="A90" s="33" t="s">
        <v>59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O90" s="5"/>
      <c r="P90" s="30">
        <v>0</v>
      </c>
    </row>
    <row r="91" spans="1:34" ht="18" x14ac:dyDescent="0.25">
      <c r="A91" s="33" t="s">
        <v>60</v>
      </c>
      <c r="B91" s="30">
        <f>$P$91/12</f>
        <v>66.666666666666671</v>
      </c>
      <c r="C91" s="30">
        <f t="shared" ref="C91:M91" si="46">$P$91/12</f>
        <v>66.666666666666671</v>
      </c>
      <c r="D91" s="30">
        <f t="shared" si="46"/>
        <v>66.666666666666671</v>
      </c>
      <c r="E91" s="30">
        <f t="shared" si="46"/>
        <v>66.666666666666671</v>
      </c>
      <c r="F91" s="30">
        <f t="shared" si="46"/>
        <v>66.666666666666671</v>
      </c>
      <c r="G91" s="30">
        <f t="shared" si="46"/>
        <v>66.666666666666671</v>
      </c>
      <c r="H91" s="30">
        <f t="shared" si="46"/>
        <v>66.666666666666671</v>
      </c>
      <c r="I91" s="30">
        <f t="shared" si="46"/>
        <v>66.666666666666671</v>
      </c>
      <c r="J91" s="30">
        <f t="shared" si="46"/>
        <v>66.666666666666671</v>
      </c>
      <c r="K91" s="30">
        <f t="shared" si="46"/>
        <v>66.666666666666671</v>
      </c>
      <c r="L91" s="30">
        <f t="shared" si="46"/>
        <v>66.666666666666671</v>
      </c>
      <c r="M91" s="30">
        <f t="shared" si="46"/>
        <v>66.666666666666671</v>
      </c>
      <c r="P91" s="30">
        <v>800</v>
      </c>
      <c r="Q91" s="10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H91" s="16"/>
    </row>
    <row r="92" spans="1:34" ht="18" customHeight="1" x14ac:dyDescent="0.25">
      <c r="A92" s="33" t="s">
        <v>395</v>
      </c>
      <c r="B92" s="30">
        <f>$P$92/12</f>
        <v>721.58333333333337</v>
      </c>
      <c r="C92" s="30">
        <f t="shared" ref="C92:M92" si="47">$P$92/12</f>
        <v>721.58333333333337</v>
      </c>
      <c r="D92" s="30">
        <f t="shared" si="47"/>
        <v>721.58333333333337</v>
      </c>
      <c r="E92" s="30">
        <f t="shared" si="47"/>
        <v>721.58333333333337</v>
      </c>
      <c r="F92" s="30">
        <f t="shared" si="47"/>
        <v>721.58333333333337</v>
      </c>
      <c r="G92" s="30">
        <f t="shared" si="47"/>
        <v>721.58333333333337</v>
      </c>
      <c r="H92" s="30">
        <f t="shared" si="47"/>
        <v>721.58333333333337</v>
      </c>
      <c r="I92" s="30">
        <f t="shared" si="47"/>
        <v>721.58333333333337</v>
      </c>
      <c r="J92" s="30">
        <f t="shared" si="47"/>
        <v>721.58333333333337</v>
      </c>
      <c r="K92" s="30">
        <f t="shared" si="47"/>
        <v>721.58333333333337</v>
      </c>
      <c r="L92" s="30">
        <f t="shared" si="47"/>
        <v>721.58333333333337</v>
      </c>
      <c r="M92" s="30">
        <f t="shared" si="47"/>
        <v>721.58333333333337</v>
      </c>
      <c r="P92" s="30">
        <v>8659</v>
      </c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H92" s="17"/>
    </row>
    <row r="93" spans="1:34" x14ac:dyDescent="0.25">
      <c r="A93" s="33" t="s">
        <v>61</v>
      </c>
      <c r="B93" s="30">
        <f>$P$93/12</f>
        <v>127.66666666666667</v>
      </c>
      <c r="C93" s="30">
        <f t="shared" ref="C93:M93" si="48">$P$93/12</f>
        <v>127.66666666666667</v>
      </c>
      <c r="D93" s="30">
        <f t="shared" si="48"/>
        <v>127.66666666666667</v>
      </c>
      <c r="E93" s="30">
        <f t="shared" si="48"/>
        <v>127.66666666666667</v>
      </c>
      <c r="F93" s="30">
        <f t="shared" si="48"/>
        <v>127.66666666666667</v>
      </c>
      <c r="G93" s="30">
        <f t="shared" si="48"/>
        <v>127.66666666666667</v>
      </c>
      <c r="H93" s="30">
        <f t="shared" si="48"/>
        <v>127.66666666666667</v>
      </c>
      <c r="I93" s="30">
        <f t="shared" si="48"/>
        <v>127.66666666666667</v>
      </c>
      <c r="J93" s="30">
        <f t="shared" si="48"/>
        <v>127.66666666666667</v>
      </c>
      <c r="K93" s="30">
        <f t="shared" si="48"/>
        <v>127.66666666666667</v>
      </c>
      <c r="L93" s="30">
        <f t="shared" si="48"/>
        <v>127.66666666666667</v>
      </c>
      <c r="M93" s="30">
        <f t="shared" si="48"/>
        <v>127.66666666666667</v>
      </c>
      <c r="P93" s="30">
        <v>1532</v>
      </c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H93" s="18"/>
    </row>
    <row r="94" spans="1:34" x14ac:dyDescent="0.25">
      <c r="A94" s="33" t="s">
        <v>62</v>
      </c>
      <c r="B94" s="30">
        <f>$P$94/12</f>
        <v>147.41666666666666</v>
      </c>
      <c r="C94" s="30">
        <f t="shared" ref="C94:M94" si="49">$P$94/12</f>
        <v>147.41666666666666</v>
      </c>
      <c r="D94" s="30">
        <f t="shared" si="49"/>
        <v>147.41666666666666</v>
      </c>
      <c r="E94" s="30">
        <f t="shared" si="49"/>
        <v>147.41666666666666</v>
      </c>
      <c r="F94" s="30">
        <f t="shared" si="49"/>
        <v>147.41666666666666</v>
      </c>
      <c r="G94" s="30">
        <f t="shared" si="49"/>
        <v>147.41666666666666</v>
      </c>
      <c r="H94" s="30">
        <f t="shared" si="49"/>
        <v>147.41666666666666</v>
      </c>
      <c r="I94" s="30">
        <f t="shared" si="49"/>
        <v>147.41666666666666</v>
      </c>
      <c r="J94" s="30">
        <f t="shared" si="49"/>
        <v>147.41666666666666</v>
      </c>
      <c r="K94" s="30">
        <f t="shared" si="49"/>
        <v>147.41666666666666</v>
      </c>
      <c r="L94" s="30">
        <f t="shared" si="49"/>
        <v>147.41666666666666</v>
      </c>
      <c r="M94" s="30">
        <f t="shared" si="49"/>
        <v>147.41666666666666</v>
      </c>
      <c r="P94" s="30">
        <v>1769</v>
      </c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H94" s="18"/>
    </row>
    <row r="95" spans="1:34" x14ac:dyDescent="0.25">
      <c r="A95" s="33" t="s">
        <v>63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P95" s="30">
        <v>0</v>
      </c>
      <c r="AH95" s="19"/>
    </row>
    <row r="96" spans="1:34" x14ac:dyDescent="0.25">
      <c r="A96" s="40"/>
      <c r="B96" s="30"/>
      <c r="C96" s="30"/>
      <c r="D96" s="30"/>
      <c r="E96" s="30"/>
      <c r="F96" s="30"/>
      <c r="G96" s="30"/>
      <c r="H96" s="30"/>
      <c r="I96" s="30"/>
      <c r="J96" s="30"/>
      <c r="K96" s="30"/>
      <c r="P96" s="30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H96" s="19"/>
    </row>
    <row r="97" spans="1:34" x14ac:dyDescent="0.25">
      <c r="A97" s="29" t="s">
        <v>396</v>
      </c>
      <c r="B97" s="75">
        <f>SUM(B66:B95,B58)</f>
        <v>15188.833333333334</v>
      </c>
      <c r="C97" s="75">
        <f t="shared" ref="C97:M97" si="50">SUM(C66:C95,C58)</f>
        <v>15188.833333333334</v>
      </c>
      <c r="D97" s="75">
        <f t="shared" si="50"/>
        <v>15188.833333333334</v>
      </c>
      <c r="E97" s="75">
        <f t="shared" si="50"/>
        <v>10765.833333333334</v>
      </c>
      <c r="F97" s="75">
        <f t="shared" si="50"/>
        <v>10765.833333333334</v>
      </c>
      <c r="G97" s="75">
        <f t="shared" si="50"/>
        <v>10765.833333333334</v>
      </c>
      <c r="H97" s="75">
        <f t="shared" si="50"/>
        <v>10765.833333333334</v>
      </c>
      <c r="I97" s="75">
        <f t="shared" si="50"/>
        <v>10765.833333333334</v>
      </c>
      <c r="J97" s="75">
        <f t="shared" si="50"/>
        <v>10765.833333333334</v>
      </c>
      <c r="K97" s="75">
        <f t="shared" si="50"/>
        <v>10765.833333333334</v>
      </c>
      <c r="L97" s="75">
        <f t="shared" si="50"/>
        <v>10765.833333333334</v>
      </c>
      <c r="M97" s="75">
        <f t="shared" si="50"/>
        <v>10772.833333333334</v>
      </c>
      <c r="P97" s="50">
        <f>SUM(P66:P95,P63,P58,P61)</f>
        <v>142466</v>
      </c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H97" s="18"/>
    </row>
    <row r="98" spans="1:34" ht="15.75" thickBot="1" x14ac:dyDescent="0.3">
      <c r="A98" s="29" t="s">
        <v>397</v>
      </c>
      <c r="B98" s="77">
        <f t="shared" ref="B98:M98" si="51">SUM(B31-B97)</f>
        <v>-3009.7238266666645</v>
      </c>
      <c r="C98" s="77">
        <f t="shared" si="51"/>
        <v>1535.0184266666674</v>
      </c>
      <c r="D98" s="77">
        <f t="shared" si="51"/>
        <v>6079.7606800000049</v>
      </c>
      <c r="E98" s="77">
        <f t="shared" si="51"/>
        <v>15047.502933333339</v>
      </c>
      <c r="F98" s="77">
        <f t="shared" si="51"/>
        <v>26409.35856666667</v>
      </c>
      <c r="G98" s="77">
        <f t="shared" si="51"/>
        <v>43224.904904000003</v>
      </c>
      <c r="H98" s="77">
        <f t="shared" si="51"/>
        <v>43224.904904000003</v>
      </c>
      <c r="I98" s="77">
        <f t="shared" si="51"/>
        <v>43224.904904000003</v>
      </c>
      <c r="J98" s="77">
        <f t="shared" si="51"/>
        <v>43224.904904000003</v>
      </c>
      <c r="K98" s="77">
        <f t="shared" si="51"/>
        <v>43224.904904000003</v>
      </c>
      <c r="L98" s="77">
        <f t="shared" si="51"/>
        <v>43224.904904000003</v>
      </c>
      <c r="M98" s="77">
        <f t="shared" si="51"/>
        <v>43672.379129333349</v>
      </c>
      <c r="P98" s="53">
        <f>SUM(P35-P97)</f>
        <v>-142465.70000000001</v>
      </c>
      <c r="AH98" s="20"/>
    </row>
    <row r="99" spans="1:34" ht="15.75" thickTop="1" x14ac:dyDescent="0.25">
      <c r="A99" s="29" t="s">
        <v>398</v>
      </c>
      <c r="B99" s="78">
        <f t="shared" ref="B99:M99" si="52">B98+B15</f>
        <v>26990.276173333335</v>
      </c>
      <c r="C99" s="78">
        <f t="shared" si="52"/>
        <v>28525.294600000001</v>
      </c>
      <c r="D99" s="78">
        <f t="shared" si="52"/>
        <v>34605.055280000008</v>
      </c>
      <c r="E99" s="78">
        <f t="shared" si="52"/>
        <v>49652.558213333345</v>
      </c>
      <c r="F99" s="78">
        <f t="shared" si="52"/>
        <v>76061.916780000014</v>
      </c>
      <c r="G99" s="78">
        <f t="shared" si="52"/>
        <v>119286.82168400002</v>
      </c>
      <c r="H99" s="78">
        <f t="shared" si="52"/>
        <v>162511.72658800002</v>
      </c>
      <c r="I99" s="78">
        <f t="shared" si="52"/>
        <v>205736.63149200001</v>
      </c>
      <c r="J99" s="78">
        <f t="shared" si="52"/>
        <v>248961.53639600001</v>
      </c>
      <c r="K99" s="78">
        <f t="shared" si="52"/>
        <v>292186.44130000001</v>
      </c>
      <c r="L99" s="78">
        <f t="shared" si="52"/>
        <v>335411.346204</v>
      </c>
      <c r="M99" s="78">
        <f t="shared" si="52"/>
        <v>379083.72533333336</v>
      </c>
      <c r="P99" s="42"/>
      <c r="AH99" s="21"/>
    </row>
    <row r="100" spans="1:34" x14ac:dyDescent="0.25">
      <c r="A100" s="4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P100" s="43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H100" s="21"/>
    </row>
    <row r="101" spans="1:34" x14ac:dyDescent="0.25">
      <c r="AH101" s="22"/>
    </row>
    <row r="102" spans="1:34" ht="18.75" x14ac:dyDescent="0.25">
      <c r="A102" s="45" t="s">
        <v>353</v>
      </c>
      <c r="P102" s="3"/>
    </row>
    <row r="103" spans="1:34" x14ac:dyDescent="0.25">
      <c r="A103">
        <v>1</v>
      </c>
      <c r="B103" t="s">
        <v>399</v>
      </c>
    </row>
    <row r="104" spans="1:34" x14ac:dyDescent="0.25">
      <c r="A104">
        <v>2</v>
      </c>
      <c r="B104" t="s">
        <v>405</v>
      </c>
    </row>
    <row r="105" spans="1:34" x14ac:dyDescent="0.25">
      <c r="A105">
        <v>3</v>
      </c>
      <c r="B105" t="s">
        <v>401</v>
      </c>
    </row>
    <row r="108" spans="1:34" ht="18.75" x14ac:dyDescent="0.3">
      <c r="A108" s="59" t="s">
        <v>402</v>
      </c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</row>
    <row r="109" spans="1:34" x14ac:dyDescent="0.25">
      <c r="B109" s="32" t="s">
        <v>365</v>
      </c>
      <c r="C109" s="32" t="s">
        <v>366</v>
      </c>
      <c r="D109" s="32" t="s">
        <v>367</v>
      </c>
      <c r="E109" s="32" t="s">
        <v>368</v>
      </c>
      <c r="F109" s="32" t="s">
        <v>369</v>
      </c>
      <c r="G109" s="32" t="s">
        <v>370</v>
      </c>
      <c r="H109" s="32" t="s">
        <v>371</v>
      </c>
      <c r="I109" s="32" t="s">
        <v>372</v>
      </c>
      <c r="J109" s="32" t="s">
        <v>373</v>
      </c>
      <c r="K109" s="32" t="s">
        <v>374</v>
      </c>
      <c r="L109" s="32" t="s">
        <v>375</v>
      </c>
      <c r="M109" s="32" t="s">
        <v>376</v>
      </c>
    </row>
    <row r="110" spans="1:34" x14ac:dyDescent="0.25">
      <c r="A110" s="29" t="s">
        <v>403</v>
      </c>
      <c r="B110" s="79">
        <f>B15</f>
        <v>30000</v>
      </c>
      <c r="C110" s="79">
        <f t="shared" ref="C110:M110" si="53">C15</f>
        <v>26990.276173333335</v>
      </c>
      <c r="D110" s="79">
        <f t="shared" si="53"/>
        <v>28525.294600000001</v>
      </c>
      <c r="E110" s="79">
        <f t="shared" si="53"/>
        <v>34605.055280000008</v>
      </c>
      <c r="F110" s="79">
        <f t="shared" si="53"/>
        <v>49652.558213333345</v>
      </c>
      <c r="G110" s="79">
        <f t="shared" si="53"/>
        <v>76061.916780000014</v>
      </c>
      <c r="H110" s="79">
        <f t="shared" si="53"/>
        <v>119286.82168400002</v>
      </c>
      <c r="I110" s="79">
        <f t="shared" si="53"/>
        <v>162511.72658800002</v>
      </c>
      <c r="J110" s="79">
        <f t="shared" si="53"/>
        <v>205736.63149200001</v>
      </c>
      <c r="K110" s="79">
        <f t="shared" si="53"/>
        <v>248961.53639600001</v>
      </c>
      <c r="L110" s="79">
        <f t="shared" si="53"/>
        <v>292186.44130000001</v>
      </c>
      <c r="M110" s="79">
        <f t="shared" si="53"/>
        <v>335411.346204</v>
      </c>
    </row>
    <row r="111" spans="1:34" x14ac:dyDescent="0.25">
      <c r="A111" s="29" t="s">
        <v>388</v>
      </c>
      <c r="B111" s="65">
        <f>B37</f>
        <v>12179.109506666669</v>
      </c>
      <c r="C111" s="65">
        <f t="shared" ref="C111:M111" si="54">C37</f>
        <v>16723.851760000001</v>
      </c>
      <c r="D111" s="65">
        <f t="shared" si="54"/>
        <v>21268.594013333339</v>
      </c>
      <c r="E111" s="65">
        <f t="shared" si="54"/>
        <v>25813.336266666673</v>
      </c>
      <c r="F111" s="65">
        <f t="shared" si="54"/>
        <v>37175.191900000005</v>
      </c>
      <c r="G111" s="65">
        <f t="shared" si="54"/>
        <v>53990.738237333338</v>
      </c>
      <c r="H111" s="65">
        <f t="shared" si="54"/>
        <v>53990.738237333338</v>
      </c>
      <c r="I111" s="65">
        <f t="shared" si="54"/>
        <v>53990.738237333338</v>
      </c>
      <c r="J111" s="65">
        <f t="shared" si="54"/>
        <v>53990.738237333338</v>
      </c>
      <c r="K111" s="65">
        <f t="shared" si="54"/>
        <v>53990.738237333338</v>
      </c>
      <c r="L111" s="65">
        <f t="shared" si="54"/>
        <v>53990.738237333338</v>
      </c>
      <c r="M111" s="65">
        <f t="shared" si="54"/>
        <v>54445.212462666685</v>
      </c>
    </row>
    <row r="112" spans="1:34" x14ac:dyDescent="0.25">
      <c r="A112" s="29" t="s">
        <v>396</v>
      </c>
      <c r="B112" s="65">
        <f>B97</f>
        <v>15188.833333333334</v>
      </c>
      <c r="C112" s="65">
        <f t="shared" ref="C112:M114" si="55">C97</f>
        <v>15188.833333333334</v>
      </c>
      <c r="D112" s="65">
        <f t="shared" si="55"/>
        <v>15188.833333333334</v>
      </c>
      <c r="E112" s="65">
        <f t="shared" si="55"/>
        <v>10765.833333333334</v>
      </c>
      <c r="F112" s="65">
        <f t="shared" si="55"/>
        <v>10765.833333333334</v>
      </c>
      <c r="G112" s="65">
        <f t="shared" si="55"/>
        <v>10765.833333333334</v>
      </c>
      <c r="H112" s="65">
        <f t="shared" si="55"/>
        <v>10765.833333333334</v>
      </c>
      <c r="I112" s="65">
        <f t="shared" si="55"/>
        <v>10765.833333333334</v>
      </c>
      <c r="J112" s="65">
        <f t="shared" si="55"/>
        <v>10765.833333333334</v>
      </c>
      <c r="K112" s="65">
        <f t="shared" si="55"/>
        <v>10765.833333333334</v>
      </c>
      <c r="L112" s="65">
        <f t="shared" si="55"/>
        <v>10765.833333333334</v>
      </c>
      <c r="M112" s="65">
        <f t="shared" si="55"/>
        <v>10772.833333333334</v>
      </c>
    </row>
    <row r="113" spans="1:13" x14ac:dyDescent="0.25">
      <c r="A113" s="29" t="s">
        <v>397</v>
      </c>
      <c r="B113" s="80">
        <f>B98</f>
        <v>-3009.7238266666645</v>
      </c>
      <c r="C113" s="80">
        <f t="shared" si="55"/>
        <v>1535.0184266666674</v>
      </c>
      <c r="D113" s="80">
        <f t="shared" si="55"/>
        <v>6079.7606800000049</v>
      </c>
      <c r="E113" s="80">
        <f t="shared" si="55"/>
        <v>15047.502933333339</v>
      </c>
      <c r="F113" s="80">
        <f t="shared" si="55"/>
        <v>26409.35856666667</v>
      </c>
      <c r="G113" s="80">
        <f t="shared" si="55"/>
        <v>43224.904904000003</v>
      </c>
      <c r="H113" s="80">
        <f t="shared" si="55"/>
        <v>43224.904904000003</v>
      </c>
      <c r="I113" s="80">
        <f t="shared" si="55"/>
        <v>43224.904904000003</v>
      </c>
      <c r="J113" s="80">
        <f t="shared" si="55"/>
        <v>43224.904904000003</v>
      </c>
      <c r="K113" s="80">
        <f t="shared" si="55"/>
        <v>43224.904904000003</v>
      </c>
      <c r="L113" s="80">
        <f t="shared" si="55"/>
        <v>43224.904904000003</v>
      </c>
      <c r="M113" s="80">
        <f t="shared" si="55"/>
        <v>43672.379129333349</v>
      </c>
    </row>
    <row r="114" spans="1:13" ht="15.75" thickBot="1" x14ac:dyDescent="0.3">
      <c r="A114" s="29" t="s">
        <v>398</v>
      </c>
      <c r="B114" s="81">
        <f>B99</f>
        <v>26990.276173333335</v>
      </c>
      <c r="C114" s="81">
        <f t="shared" si="55"/>
        <v>28525.294600000001</v>
      </c>
      <c r="D114" s="81">
        <f t="shared" si="55"/>
        <v>34605.055280000008</v>
      </c>
      <c r="E114" s="81">
        <f t="shared" si="55"/>
        <v>49652.558213333345</v>
      </c>
      <c r="F114" s="81">
        <f t="shared" si="55"/>
        <v>76061.916780000014</v>
      </c>
      <c r="G114" s="81">
        <f t="shared" si="55"/>
        <v>119286.82168400002</v>
      </c>
      <c r="H114" s="81">
        <f t="shared" si="55"/>
        <v>162511.72658800002</v>
      </c>
      <c r="I114" s="81">
        <f t="shared" si="55"/>
        <v>205736.63149200001</v>
      </c>
      <c r="J114" s="81">
        <f t="shared" si="55"/>
        <v>248961.53639600001</v>
      </c>
      <c r="K114" s="81">
        <f t="shared" si="55"/>
        <v>292186.44130000001</v>
      </c>
      <c r="L114" s="81">
        <f t="shared" si="55"/>
        <v>335411.346204</v>
      </c>
      <c r="M114" s="81">
        <f t="shared" si="55"/>
        <v>379083.72533333336</v>
      </c>
    </row>
    <row r="115" spans="1:13" ht="15.75" thickTop="1" x14ac:dyDescent="0.25"/>
    <row r="118" spans="1:13" x14ac:dyDescent="0.25">
      <c r="B118" s="65"/>
    </row>
    <row r="119" spans="1:13" x14ac:dyDescent="0.25">
      <c r="B119" s="65"/>
    </row>
    <row r="120" spans="1:13" x14ac:dyDescent="0.25">
      <c r="B120" s="65"/>
    </row>
    <row r="121" spans="1:13" x14ac:dyDescent="0.25">
      <c r="B121" s="65"/>
    </row>
    <row r="122" spans="1:13" x14ac:dyDescent="0.25">
      <c r="B122" s="65"/>
    </row>
    <row r="123" spans="1:13" x14ac:dyDescent="0.25">
      <c r="B123" s="65"/>
    </row>
    <row r="124" spans="1:13" x14ac:dyDescent="0.25">
      <c r="B124" s="65"/>
    </row>
    <row r="125" spans="1:13" x14ac:dyDescent="0.25">
      <c r="B125" s="65"/>
    </row>
    <row r="126" spans="1:13" x14ac:dyDescent="0.25">
      <c r="B126" s="65"/>
    </row>
    <row r="127" spans="1:13" x14ac:dyDescent="0.25">
      <c r="B127" s="65"/>
    </row>
    <row r="128" spans="1:13" x14ac:dyDescent="0.25">
      <c r="B128" s="65"/>
    </row>
    <row r="129" spans="2:2" x14ac:dyDescent="0.25">
      <c r="B129" s="65"/>
    </row>
  </sheetData>
  <mergeCells count="3">
    <mergeCell ref="A1:H1"/>
    <mergeCell ref="A3:M3"/>
    <mergeCell ref="A108:M10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86EB8-566F-461A-A671-A50947FF11DA}">
  <dimension ref="A1:AH115"/>
  <sheetViews>
    <sheetView topLeftCell="A92" zoomScaleNormal="100" workbookViewId="0">
      <selection activeCell="A116" sqref="A116"/>
    </sheetView>
  </sheetViews>
  <sheetFormatPr defaultRowHeight="15" x14ac:dyDescent="0.25"/>
  <cols>
    <col min="1" max="1" width="37.5703125" customWidth="1"/>
    <col min="2" max="3" width="12" customWidth="1"/>
    <col min="4" max="4" width="14.7109375" customWidth="1"/>
    <col min="5" max="11" width="12" customWidth="1"/>
    <col min="12" max="13" width="13.42578125" customWidth="1"/>
    <col min="16" max="16" width="14.42578125" hidden="1" customWidth="1"/>
    <col min="17" max="17" width="0" hidden="1" customWidth="1"/>
    <col min="18" max="20" width="9.140625" hidden="1" customWidth="1"/>
    <col min="21" max="21" width="14" hidden="1" customWidth="1"/>
    <col min="22" max="22" width="13" hidden="1" customWidth="1"/>
    <col min="23" max="29" width="10.5703125" customWidth="1"/>
    <col min="30" max="30" width="12" customWidth="1"/>
    <col min="31" max="31" width="12.42578125" customWidth="1"/>
    <col min="34" max="34" width="13.140625" bestFit="1" customWidth="1"/>
  </cols>
  <sheetData>
    <row r="1" spans="1:22" x14ac:dyDescent="0.25">
      <c r="A1" s="63" t="s">
        <v>406</v>
      </c>
      <c r="B1" s="63"/>
      <c r="C1" s="63"/>
      <c r="D1" s="63"/>
      <c r="E1" s="63"/>
      <c r="F1" s="63"/>
      <c r="G1" s="63"/>
      <c r="H1" s="63"/>
      <c r="I1" s="63"/>
    </row>
    <row r="3" spans="1:22" ht="18.75" x14ac:dyDescent="0.3">
      <c r="A3" s="59" t="s">
        <v>364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22" x14ac:dyDescent="0.25">
      <c r="A4" s="32" t="s">
        <v>77</v>
      </c>
      <c r="B4" s="32" t="s">
        <v>365</v>
      </c>
      <c r="C4" s="32" t="s">
        <v>366</v>
      </c>
      <c r="D4" s="32" t="s">
        <v>367</v>
      </c>
      <c r="E4" s="32" t="s">
        <v>368</v>
      </c>
      <c r="F4" s="32" t="s">
        <v>369</v>
      </c>
      <c r="G4" s="32" t="s">
        <v>370</v>
      </c>
      <c r="H4" s="32" t="s">
        <v>371</v>
      </c>
      <c r="I4" s="32" t="s">
        <v>372</v>
      </c>
      <c r="J4" s="32" t="s">
        <v>373</v>
      </c>
      <c r="K4" s="32" t="s">
        <v>374</v>
      </c>
      <c r="L4" s="32" t="s">
        <v>375</v>
      </c>
      <c r="M4" s="32" t="s">
        <v>376</v>
      </c>
    </row>
    <row r="5" spans="1:22" x14ac:dyDescent="0.25">
      <c r="A5" s="33" t="s">
        <v>11</v>
      </c>
      <c r="B5" s="51">
        <f>5000+SUM(B53:B55)</f>
        <v>8435.8333333333321</v>
      </c>
      <c r="C5" s="51">
        <f>SUM(C53:C55)</f>
        <v>3435.833333333333</v>
      </c>
      <c r="D5" s="51">
        <f t="shared" ref="D5:M5" si="0">SUM(D53:D55)</f>
        <v>3435.833333333333</v>
      </c>
      <c r="E5" s="51">
        <f t="shared" si="0"/>
        <v>1150.6166666666668</v>
      </c>
      <c r="F5" s="51">
        <f t="shared" si="0"/>
        <v>1150.6166666666668</v>
      </c>
      <c r="G5" s="51">
        <f t="shared" si="0"/>
        <v>1150.6166666666668</v>
      </c>
      <c r="H5" s="51">
        <f t="shared" si="0"/>
        <v>1150.6166666666668</v>
      </c>
      <c r="I5" s="51">
        <f t="shared" si="0"/>
        <v>1150.6166666666668</v>
      </c>
      <c r="J5" s="51">
        <f t="shared" si="0"/>
        <v>1150.6166666666668</v>
      </c>
      <c r="K5" s="51">
        <f t="shared" si="0"/>
        <v>1150.6166666666668</v>
      </c>
      <c r="L5" s="51">
        <f>SUM(L53:L55)</f>
        <v>1150.6166666666668</v>
      </c>
      <c r="M5" s="51">
        <f t="shared" si="0"/>
        <v>1154.2333333333333</v>
      </c>
      <c r="P5" s="11">
        <f>5000+SUM(P53:P55)</f>
        <v>25666.666666666668</v>
      </c>
    </row>
    <row r="6" spans="1:22" x14ac:dyDescent="0.25">
      <c r="A6" s="33" t="s">
        <v>12</v>
      </c>
      <c r="B6" s="64">
        <f>(25%/12)*1.08</f>
        <v>2.2499999999999999E-2</v>
      </c>
      <c r="C6" s="64">
        <f t="shared" ref="C6:M6" si="1">(25%/12)*1.1</f>
        <v>2.2916666666666669E-2</v>
      </c>
      <c r="D6" s="64">
        <f t="shared" si="1"/>
        <v>2.2916666666666669E-2</v>
      </c>
      <c r="E6" s="64">
        <f t="shared" si="1"/>
        <v>2.2916666666666669E-2</v>
      </c>
      <c r="F6" s="64">
        <f t="shared" si="1"/>
        <v>2.2916666666666669E-2</v>
      </c>
      <c r="G6" s="64">
        <f t="shared" si="1"/>
        <v>2.2916666666666669E-2</v>
      </c>
      <c r="H6" s="64">
        <f t="shared" si="1"/>
        <v>2.2916666666666669E-2</v>
      </c>
      <c r="I6" s="64">
        <f t="shared" si="1"/>
        <v>2.2916666666666669E-2</v>
      </c>
      <c r="J6" s="64">
        <f t="shared" si="1"/>
        <v>2.2916666666666669E-2</v>
      </c>
      <c r="K6" s="64">
        <f t="shared" si="1"/>
        <v>2.2916666666666669E-2</v>
      </c>
      <c r="L6" s="64">
        <f t="shared" si="1"/>
        <v>2.2916666666666669E-2</v>
      </c>
      <c r="M6" s="64">
        <f t="shared" si="1"/>
        <v>2.2916666666666669E-2</v>
      </c>
      <c r="P6" s="55">
        <v>0.25</v>
      </c>
    </row>
    <row r="7" spans="1:22" x14ac:dyDescent="0.25">
      <c r="A7" s="33" t="s">
        <v>13</v>
      </c>
      <c r="B7" s="64">
        <f>18%/12</f>
        <v>1.4999999999999999E-2</v>
      </c>
      <c r="C7" s="64">
        <f t="shared" ref="C7:M7" si="2">18%/12</f>
        <v>1.4999999999999999E-2</v>
      </c>
      <c r="D7" s="64">
        <f t="shared" si="2"/>
        <v>1.4999999999999999E-2</v>
      </c>
      <c r="E7" s="64">
        <f t="shared" si="2"/>
        <v>1.4999999999999999E-2</v>
      </c>
      <c r="F7" s="64">
        <f t="shared" si="2"/>
        <v>1.4999999999999999E-2</v>
      </c>
      <c r="G7" s="64">
        <f t="shared" si="2"/>
        <v>1.4999999999999999E-2</v>
      </c>
      <c r="H7" s="64">
        <f t="shared" si="2"/>
        <v>1.4999999999999999E-2</v>
      </c>
      <c r="I7" s="64">
        <f t="shared" si="2"/>
        <v>1.4999999999999999E-2</v>
      </c>
      <c r="J7" s="64">
        <f t="shared" si="2"/>
        <v>1.4999999999999999E-2</v>
      </c>
      <c r="K7" s="64">
        <f t="shared" si="2"/>
        <v>1.4999999999999999E-2</v>
      </c>
      <c r="L7" s="64">
        <f t="shared" si="2"/>
        <v>1.4999999999999999E-2</v>
      </c>
      <c r="M7" s="64">
        <f t="shared" si="2"/>
        <v>1.4999999999999999E-2</v>
      </c>
      <c r="P7" s="55">
        <v>0.18</v>
      </c>
    </row>
    <row r="8" spans="1:22" x14ac:dyDescent="0.25">
      <c r="A8" s="31" t="s">
        <v>14</v>
      </c>
      <c r="B8" s="64">
        <f>B6-B7</f>
        <v>7.4999999999999997E-3</v>
      </c>
      <c r="C8" s="64">
        <f t="shared" ref="C8:M8" si="3">C6-C7</f>
        <v>7.9166666666666691E-3</v>
      </c>
      <c r="D8" s="64">
        <f t="shared" si="3"/>
        <v>7.9166666666666691E-3</v>
      </c>
      <c r="E8" s="64">
        <f t="shared" si="3"/>
        <v>7.9166666666666691E-3</v>
      </c>
      <c r="F8" s="64">
        <f t="shared" si="3"/>
        <v>7.9166666666666691E-3</v>
      </c>
      <c r="G8" s="64">
        <f t="shared" si="3"/>
        <v>7.9166666666666691E-3</v>
      </c>
      <c r="H8" s="64">
        <f t="shared" si="3"/>
        <v>7.9166666666666691E-3</v>
      </c>
      <c r="I8" s="64">
        <f t="shared" si="3"/>
        <v>7.9166666666666691E-3</v>
      </c>
      <c r="J8" s="64">
        <f t="shared" si="3"/>
        <v>7.9166666666666691E-3</v>
      </c>
      <c r="K8" s="64">
        <f t="shared" si="3"/>
        <v>7.9166666666666691E-3</v>
      </c>
      <c r="L8" s="64">
        <f t="shared" si="3"/>
        <v>7.9166666666666691E-3</v>
      </c>
      <c r="M8" s="64">
        <f t="shared" si="3"/>
        <v>7.9166666666666691E-3</v>
      </c>
      <c r="P8" s="55">
        <v>7.0000000000000007E-2</v>
      </c>
    </row>
    <row r="9" spans="1:22" x14ac:dyDescent="0.25">
      <c r="A9" s="32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P9" s="66"/>
    </row>
    <row r="10" spans="1:22" ht="17.25" x14ac:dyDescent="0.25">
      <c r="A10" s="29" t="s">
        <v>377</v>
      </c>
      <c r="B10" s="38">
        <f>B5*(1+B8)</f>
        <v>8499.1020833333332</v>
      </c>
      <c r="C10" s="38">
        <f>(C5+B10)*(1+C8)</f>
        <v>12029.420322048611</v>
      </c>
      <c r="D10" s="38">
        <f t="shared" ref="D10:M10" si="4">(D5+C10)*(1+D8)</f>
        <v>15587.68691348705</v>
      </c>
      <c r="E10" s="38">
        <f>(E5+D10)*(1+E8)</f>
        <v>16870.815150163267</v>
      </c>
      <c r="F10" s="38">
        <f t="shared" si="4"/>
        <v>18164.101485379837</v>
      </c>
      <c r="G10" s="38">
        <f t="shared" si="4"/>
        <v>19467.626337416867</v>
      </c>
      <c r="H10" s="38">
        <f t="shared" si="4"/>
        <v>20781.470761199191</v>
      </c>
      <c r="I10" s="38">
        <f t="shared" si="4"/>
        <v>22105.716453336463</v>
      </c>
      <c r="J10" s="38">
        <f t="shared" si="4"/>
        <v>23440.445757203153</v>
      </c>
      <c r="K10" s="38">
        <f t="shared" si="4"/>
        <v>24785.741668058788</v>
      </c>
      <c r="L10" s="38">
        <f t="shared" si="4"/>
        <v>26141.687838208694</v>
      </c>
      <c r="M10" s="38">
        <f t="shared" si="4"/>
        <v>27512.013880816732</v>
      </c>
      <c r="P10" s="11">
        <f>(P5*(1+P8))*V10</f>
        <v>27463.333333333336</v>
      </c>
      <c r="V10">
        <v>1</v>
      </c>
    </row>
    <row r="11" spans="1:22" x14ac:dyDescent="0.25">
      <c r="A11" s="29" t="s">
        <v>15</v>
      </c>
      <c r="B11" s="3">
        <f>B10-B13</f>
        <v>7649.1918749999995</v>
      </c>
      <c r="C11" s="3">
        <f>C10-C13</f>
        <v>10826.47828984375</v>
      </c>
      <c r="D11" s="3">
        <f t="shared" ref="D11:M11" si="5">D10-D13</f>
        <v>14028.918222138345</v>
      </c>
      <c r="E11" s="3">
        <f t="shared" si="5"/>
        <v>15183.73363514694</v>
      </c>
      <c r="F11" s="3">
        <f t="shared" si="5"/>
        <v>16347.691336841854</v>
      </c>
      <c r="G11" s="3">
        <f t="shared" si="5"/>
        <v>17520.863703675179</v>
      </c>
      <c r="H11" s="3">
        <f t="shared" si="5"/>
        <v>18703.323685079271</v>
      </c>
      <c r="I11" s="3">
        <f t="shared" si="5"/>
        <v>19895.144808002817</v>
      </c>
      <c r="J11" s="3">
        <f t="shared" si="5"/>
        <v>21096.401181482837</v>
      </c>
      <c r="K11" s="3">
        <f t="shared" si="5"/>
        <v>22307.167501252909</v>
      </c>
      <c r="L11" s="3">
        <f t="shared" si="5"/>
        <v>23527.519054387823</v>
      </c>
      <c r="M11" s="3">
        <f t="shared" si="5"/>
        <v>24760.812492735058</v>
      </c>
      <c r="P11" s="11">
        <v>24717</v>
      </c>
    </row>
    <row r="12" spans="1:22" x14ac:dyDescent="0.25">
      <c r="A12" s="33" t="s">
        <v>16</v>
      </c>
      <c r="B12" s="35">
        <v>0.1</v>
      </c>
      <c r="C12" s="35">
        <v>0.1</v>
      </c>
      <c r="D12" s="35">
        <v>0.1</v>
      </c>
      <c r="E12" s="35">
        <v>0.1</v>
      </c>
      <c r="F12" s="35">
        <v>0.1</v>
      </c>
      <c r="G12" s="35">
        <v>0.1</v>
      </c>
      <c r="H12" s="35">
        <v>0.1</v>
      </c>
      <c r="I12" s="35">
        <v>0.1</v>
      </c>
      <c r="J12" s="35">
        <v>0.1</v>
      </c>
      <c r="K12" s="35">
        <v>0.1</v>
      </c>
      <c r="L12" s="35">
        <v>0.1</v>
      </c>
      <c r="M12" s="35">
        <v>0.1</v>
      </c>
      <c r="P12" s="55">
        <v>0.1</v>
      </c>
    </row>
    <row r="13" spans="1:22" x14ac:dyDescent="0.25">
      <c r="A13" s="29" t="s">
        <v>17</v>
      </c>
      <c r="B13" s="3">
        <f>B10*B12</f>
        <v>849.91020833333334</v>
      </c>
      <c r="C13" s="3">
        <f t="shared" ref="C13:M13" si="6">C10*C12</f>
        <v>1202.9420322048611</v>
      </c>
      <c r="D13" s="3">
        <f t="shared" si="6"/>
        <v>1558.768691348705</v>
      </c>
      <c r="E13" s="3">
        <f t="shared" si="6"/>
        <v>1687.0815150163269</v>
      </c>
      <c r="F13" s="3">
        <f t="shared" si="6"/>
        <v>1816.4101485379838</v>
      </c>
      <c r="G13" s="3">
        <f t="shared" si="6"/>
        <v>1946.7626337416868</v>
      </c>
      <c r="H13" s="3">
        <f t="shared" si="6"/>
        <v>2078.1470761199193</v>
      </c>
      <c r="I13" s="3">
        <f t="shared" si="6"/>
        <v>2210.5716453336463</v>
      </c>
      <c r="J13" s="3">
        <f t="shared" si="6"/>
        <v>2344.0445757203156</v>
      </c>
      <c r="K13" s="3">
        <f t="shared" si="6"/>
        <v>2478.574166805879</v>
      </c>
      <c r="L13" s="3">
        <f t="shared" si="6"/>
        <v>2614.1687838208695</v>
      </c>
      <c r="M13" s="3">
        <f t="shared" si="6"/>
        <v>2751.2013880816735</v>
      </c>
      <c r="P13" s="11">
        <f>P10*P12</f>
        <v>2746.3333333333339</v>
      </c>
    </row>
    <row r="14" spans="1:22" x14ac:dyDescent="0.25">
      <c r="A14" s="2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22" ht="17.25" x14ac:dyDescent="0.25">
      <c r="A15" s="67" t="s">
        <v>378</v>
      </c>
      <c r="B15" s="68">
        <v>0</v>
      </c>
      <c r="C15" s="68">
        <f>B99</f>
        <v>-3009.7238266666645</v>
      </c>
      <c r="D15" s="68">
        <f t="shared" ref="D15:M15" si="7">C99</f>
        <v>-1474.7053999999971</v>
      </c>
      <c r="E15" s="68">
        <f t="shared" si="7"/>
        <v>4605.0552800000078</v>
      </c>
      <c r="F15" s="68">
        <f t="shared" si="7"/>
        <v>19652.558213333345</v>
      </c>
      <c r="G15" s="68">
        <f t="shared" si="7"/>
        <v>46061.916780000014</v>
      </c>
      <c r="H15" s="68">
        <f t="shared" si="7"/>
        <v>89286.821684000024</v>
      </c>
      <c r="I15" s="68">
        <f t="shared" si="7"/>
        <v>132511.72658800002</v>
      </c>
      <c r="J15" s="68">
        <f t="shared" si="7"/>
        <v>175736.63149200001</v>
      </c>
      <c r="K15" s="68">
        <f t="shared" si="7"/>
        <v>218961.53639600001</v>
      </c>
      <c r="L15" s="68">
        <f t="shared" si="7"/>
        <v>262186.44130000001</v>
      </c>
      <c r="M15" s="68">
        <f t="shared" si="7"/>
        <v>305411.346204</v>
      </c>
    </row>
    <row r="16" spans="1:22" x14ac:dyDescent="0.25">
      <c r="A16" s="26" t="s">
        <v>18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69"/>
      <c r="M16" s="69"/>
    </row>
    <row r="17" spans="1:22" x14ac:dyDescent="0.25">
      <c r="A17" s="33" t="s">
        <v>19</v>
      </c>
      <c r="B17" s="70">
        <f>$P$17/12</f>
        <v>3564.2829444444455</v>
      </c>
      <c r="C17" s="70">
        <f t="shared" ref="C17:M17" si="8">$P$17/12</f>
        <v>3564.2829444444455</v>
      </c>
      <c r="D17" s="70">
        <f t="shared" si="8"/>
        <v>3564.2829444444455</v>
      </c>
      <c r="E17" s="70">
        <f t="shared" si="8"/>
        <v>3564.2829444444455</v>
      </c>
      <c r="F17" s="70">
        <f t="shared" si="8"/>
        <v>3564.2829444444455</v>
      </c>
      <c r="G17" s="70">
        <f t="shared" si="8"/>
        <v>3564.2829444444455</v>
      </c>
      <c r="H17" s="70">
        <f t="shared" si="8"/>
        <v>3564.2829444444455</v>
      </c>
      <c r="I17" s="70">
        <f t="shared" si="8"/>
        <v>3564.2829444444455</v>
      </c>
      <c r="J17" s="70">
        <f t="shared" si="8"/>
        <v>3564.2829444444455</v>
      </c>
      <c r="K17" s="70">
        <f t="shared" si="8"/>
        <v>3564.2829444444455</v>
      </c>
      <c r="L17" s="70">
        <f t="shared" si="8"/>
        <v>3564.2829444444455</v>
      </c>
      <c r="M17" s="70">
        <f t="shared" si="8"/>
        <v>3564.2829444444455</v>
      </c>
      <c r="P17" s="8">
        <f>(T17*52*P13*P18)</f>
        <v>42771.395333333348</v>
      </c>
      <c r="S17">
        <v>5.99</v>
      </c>
      <c r="T17">
        <v>5.99</v>
      </c>
    </row>
    <row r="18" spans="1:22" ht="17.25" x14ac:dyDescent="0.25">
      <c r="A18" s="71" t="s">
        <v>379</v>
      </c>
      <c r="B18" s="72">
        <v>0.02</v>
      </c>
      <c r="C18" s="72">
        <v>0.03</v>
      </c>
      <c r="D18" s="72">
        <v>0.04</v>
      </c>
      <c r="E18" s="72">
        <v>0.05</v>
      </c>
      <c r="F18" s="72">
        <v>7.4999999999999997E-2</v>
      </c>
      <c r="G18" s="72">
        <v>0.112</v>
      </c>
      <c r="H18" s="72">
        <v>0.112</v>
      </c>
      <c r="I18" s="72">
        <v>0.112</v>
      </c>
      <c r="J18" s="72">
        <v>0.112</v>
      </c>
      <c r="K18" s="72">
        <v>0.112</v>
      </c>
      <c r="L18" s="72">
        <v>0.112</v>
      </c>
      <c r="M18" s="72">
        <v>0.113</v>
      </c>
      <c r="P18" s="55">
        <v>0.05</v>
      </c>
    </row>
    <row r="19" spans="1:22" x14ac:dyDescent="0.25">
      <c r="A19" s="33" t="s">
        <v>380</v>
      </c>
      <c r="B19" s="70">
        <f>$P$17*B18</f>
        <v>855.42790666666701</v>
      </c>
      <c r="C19" s="70">
        <f t="shared" ref="C19:M19" si="9">$P$17*C18</f>
        <v>1283.1418600000004</v>
      </c>
      <c r="D19" s="70">
        <f t="shared" si="9"/>
        <v>1710.855813333334</v>
      </c>
      <c r="E19" s="70">
        <f t="shared" si="9"/>
        <v>2138.5697666666674</v>
      </c>
      <c r="F19" s="70">
        <f t="shared" si="9"/>
        <v>3207.8546500000011</v>
      </c>
      <c r="G19" s="70">
        <f t="shared" si="9"/>
        <v>4790.3962773333351</v>
      </c>
      <c r="H19" s="70">
        <f t="shared" si="9"/>
        <v>4790.3962773333351</v>
      </c>
      <c r="I19" s="70">
        <f t="shared" si="9"/>
        <v>4790.3962773333351</v>
      </c>
      <c r="J19" s="70">
        <f t="shared" si="9"/>
        <v>4790.3962773333351</v>
      </c>
      <c r="K19" s="70">
        <f t="shared" si="9"/>
        <v>4790.3962773333351</v>
      </c>
      <c r="L19" s="70">
        <f t="shared" si="9"/>
        <v>4790.3962773333351</v>
      </c>
      <c r="M19" s="70">
        <f t="shared" si="9"/>
        <v>4833.1676726666683</v>
      </c>
      <c r="P19" s="55"/>
    </row>
    <row r="20" spans="1:22" x14ac:dyDescent="0.25">
      <c r="A20" s="33" t="s">
        <v>20</v>
      </c>
      <c r="B20" s="70">
        <f>$P$20/12</f>
        <v>24973.782166666671</v>
      </c>
      <c r="C20" s="70">
        <f t="shared" ref="C20:M20" si="10">$P$20/12</f>
        <v>24973.782166666671</v>
      </c>
      <c r="D20" s="70">
        <f t="shared" si="10"/>
        <v>24973.782166666671</v>
      </c>
      <c r="E20" s="70">
        <f t="shared" si="10"/>
        <v>24973.782166666671</v>
      </c>
      <c r="F20" s="70">
        <f t="shared" si="10"/>
        <v>24973.782166666671</v>
      </c>
      <c r="G20" s="70">
        <f t="shared" si="10"/>
        <v>24973.782166666671</v>
      </c>
      <c r="H20" s="70">
        <f t="shared" si="10"/>
        <v>24973.782166666671</v>
      </c>
      <c r="I20" s="70">
        <f t="shared" si="10"/>
        <v>24973.782166666671</v>
      </c>
      <c r="J20" s="70">
        <f t="shared" si="10"/>
        <v>24973.782166666671</v>
      </c>
      <c r="K20" s="70">
        <f t="shared" si="10"/>
        <v>24973.782166666671</v>
      </c>
      <c r="L20" s="70">
        <f t="shared" si="10"/>
        <v>24973.782166666671</v>
      </c>
      <c r="M20" s="70">
        <f t="shared" si="10"/>
        <v>24973.782166666671</v>
      </c>
      <c r="P20" s="8">
        <f>T20*12*P13*P21</f>
        <v>299685.38600000006</v>
      </c>
      <c r="S20">
        <v>13.99</v>
      </c>
      <c r="T20">
        <v>13.99</v>
      </c>
    </row>
    <row r="21" spans="1:22" x14ac:dyDescent="0.25">
      <c r="A21" s="71" t="s">
        <v>381</v>
      </c>
      <c r="B21" s="72">
        <v>0.02</v>
      </c>
      <c r="C21" s="72">
        <v>0.03</v>
      </c>
      <c r="D21" s="72">
        <v>0.04</v>
      </c>
      <c r="E21" s="72">
        <v>0.05</v>
      </c>
      <c r="F21" s="72">
        <v>7.4999999999999997E-2</v>
      </c>
      <c r="G21" s="72">
        <v>0.112</v>
      </c>
      <c r="H21" s="72">
        <v>0.112</v>
      </c>
      <c r="I21" s="72">
        <v>0.112</v>
      </c>
      <c r="J21" s="72">
        <v>0.112</v>
      </c>
      <c r="K21" s="72">
        <v>0.112</v>
      </c>
      <c r="L21" s="72">
        <v>0.112</v>
      </c>
      <c r="M21" s="72">
        <v>0.113</v>
      </c>
      <c r="P21" s="55">
        <v>0.65</v>
      </c>
    </row>
    <row r="22" spans="1:22" x14ac:dyDescent="0.25">
      <c r="A22" s="33" t="s">
        <v>380</v>
      </c>
      <c r="B22" s="70">
        <f>$P$20*B21</f>
        <v>5993.7077200000012</v>
      </c>
      <c r="C22" s="70">
        <f t="shared" ref="C22:M22" si="11">$P$20*C21</f>
        <v>8990.5615800000014</v>
      </c>
      <c r="D22" s="70">
        <f t="shared" si="11"/>
        <v>11987.415440000002</v>
      </c>
      <c r="E22" s="70">
        <f t="shared" si="11"/>
        <v>14984.269300000004</v>
      </c>
      <c r="F22" s="70">
        <f t="shared" si="11"/>
        <v>22476.403950000004</v>
      </c>
      <c r="G22" s="70">
        <f t="shared" si="11"/>
        <v>33564.763232000005</v>
      </c>
      <c r="H22" s="70">
        <f t="shared" si="11"/>
        <v>33564.763232000005</v>
      </c>
      <c r="I22" s="70">
        <f t="shared" si="11"/>
        <v>33564.763232000005</v>
      </c>
      <c r="J22" s="70">
        <f t="shared" si="11"/>
        <v>33564.763232000005</v>
      </c>
      <c r="K22" s="70">
        <f t="shared" si="11"/>
        <v>33564.763232000005</v>
      </c>
      <c r="L22" s="70">
        <f t="shared" si="11"/>
        <v>33564.763232000005</v>
      </c>
      <c r="M22" s="70">
        <f t="shared" si="11"/>
        <v>33864.448618000009</v>
      </c>
      <c r="P22" s="55"/>
    </row>
    <row r="23" spans="1:22" x14ac:dyDescent="0.25">
      <c r="A23" s="33" t="s">
        <v>382</v>
      </c>
      <c r="B23" s="70">
        <f>$P$23/12</f>
        <v>9334.7870000000021</v>
      </c>
      <c r="C23" s="70">
        <f t="shared" ref="C23:M23" si="12">$P$23/12</f>
        <v>9334.7870000000021</v>
      </c>
      <c r="D23" s="70">
        <f t="shared" si="12"/>
        <v>9334.7870000000021</v>
      </c>
      <c r="E23" s="70">
        <f t="shared" si="12"/>
        <v>9334.7870000000021</v>
      </c>
      <c r="F23" s="70">
        <f t="shared" si="12"/>
        <v>9334.7870000000021</v>
      </c>
      <c r="G23" s="70">
        <f t="shared" si="12"/>
        <v>9334.7870000000021</v>
      </c>
      <c r="H23" s="70">
        <f t="shared" si="12"/>
        <v>9334.7870000000021</v>
      </c>
      <c r="I23" s="70">
        <f t="shared" si="12"/>
        <v>9334.7870000000021</v>
      </c>
      <c r="J23" s="70">
        <f t="shared" si="12"/>
        <v>9334.7870000000021</v>
      </c>
      <c r="K23" s="70">
        <f t="shared" si="12"/>
        <v>9334.7870000000021</v>
      </c>
      <c r="L23" s="70">
        <f t="shared" si="12"/>
        <v>9334.7870000000021</v>
      </c>
      <c r="M23" s="70">
        <f t="shared" si="12"/>
        <v>9334.7870000000021</v>
      </c>
      <c r="P23" s="8">
        <f>T23*1*P13*P24</f>
        <v>112017.44400000003</v>
      </c>
      <c r="S23">
        <v>135.96</v>
      </c>
      <c r="T23">
        <v>135.96</v>
      </c>
    </row>
    <row r="24" spans="1:22" x14ac:dyDescent="0.25">
      <c r="A24" s="71" t="s">
        <v>381</v>
      </c>
      <c r="B24" s="72">
        <v>0.02</v>
      </c>
      <c r="C24" s="72">
        <v>0.03</v>
      </c>
      <c r="D24" s="72">
        <v>0.04</v>
      </c>
      <c r="E24" s="72">
        <v>0.05</v>
      </c>
      <c r="F24" s="72">
        <v>7.4999999999999997E-2</v>
      </c>
      <c r="G24" s="72">
        <v>0.112</v>
      </c>
      <c r="H24" s="72">
        <v>0.112</v>
      </c>
      <c r="I24" s="72">
        <v>0.112</v>
      </c>
      <c r="J24" s="72">
        <v>0.112</v>
      </c>
      <c r="K24" s="72">
        <v>0.112</v>
      </c>
      <c r="L24" s="72">
        <v>0.112</v>
      </c>
      <c r="M24" s="72">
        <v>0.113</v>
      </c>
      <c r="P24" s="55">
        <v>0.3</v>
      </c>
    </row>
    <row r="25" spans="1:22" x14ac:dyDescent="0.25">
      <c r="A25" s="33" t="s">
        <v>380</v>
      </c>
      <c r="B25" s="70">
        <f>$P$23*B24</f>
        <v>2240.3488800000009</v>
      </c>
      <c r="C25" s="70">
        <f t="shared" ref="C25:M25" si="13">$P$23*C24</f>
        <v>3360.5233200000007</v>
      </c>
      <c r="D25" s="70">
        <f t="shared" si="13"/>
        <v>4480.6977600000018</v>
      </c>
      <c r="E25" s="70">
        <f t="shared" si="13"/>
        <v>5600.8722000000016</v>
      </c>
      <c r="F25" s="70">
        <f t="shared" si="13"/>
        <v>8401.3083000000024</v>
      </c>
      <c r="G25" s="70">
        <f t="shared" si="13"/>
        <v>12545.953728000004</v>
      </c>
      <c r="H25" s="70">
        <f t="shared" si="13"/>
        <v>12545.953728000004</v>
      </c>
      <c r="I25" s="70">
        <f t="shared" si="13"/>
        <v>12545.953728000004</v>
      </c>
      <c r="J25" s="70">
        <f t="shared" si="13"/>
        <v>12545.953728000004</v>
      </c>
      <c r="K25" s="70">
        <f t="shared" si="13"/>
        <v>12545.953728000004</v>
      </c>
      <c r="L25" s="70">
        <f t="shared" si="13"/>
        <v>12545.953728000004</v>
      </c>
      <c r="M25" s="70">
        <f t="shared" si="13"/>
        <v>12657.971172000003</v>
      </c>
      <c r="P25" s="55"/>
    </row>
    <row r="26" spans="1:22" ht="15" customHeight="1" x14ac:dyDescent="0.25">
      <c r="A26" s="29" t="s">
        <v>383</v>
      </c>
      <c r="B26" s="50">
        <f>SUM(B25+B22+B19)</f>
        <v>9089.4845066666694</v>
      </c>
      <c r="C26" s="50">
        <f t="shared" ref="C26:M26" si="14">SUM(C25+C22+C19)</f>
        <v>13634.226760000001</v>
      </c>
      <c r="D26" s="50">
        <f t="shared" si="14"/>
        <v>18178.969013333339</v>
      </c>
      <c r="E26" s="50">
        <f t="shared" si="14"/>
        <v>22723.711266666673</v>
      </c>
      <c r="F26" s="50">
        <f t="shared" si="14"/>
        <v>34085.566900000005</v>
      </c>
      <c r="G26" s="50">
        <f t="shared" si="14"/>
        <v>50901.113237333338</v>
      </c>
      <c r="H26" s="50">
        <f t="shared" si="14"/>
        <v>50901.113237333338</v>
      </c>
      <c r="I26" s="50">
        <f t="shared" si="14"/>
        <v>50901.113237333338</v>
      </c>
      <c r="J26" s="50">
        <f t="shared" si="14"/>
        <v>50901.113237333338</v>
      </c>
      <c r="K26" s="50">
        <f t="shared" si="14"/>
        <v>50901.113237333338</v>
      </c>
      <c r="L26" s="50">
        <f t="shared" si="14"/>
        <v>50901.113237333338</v>
      </c>
      <c r="M26" s="50">
        <f t="shared" si="14"/>
        <v>51355.587462666685</v>
      </c>
      <c r="P26" s="8">
        <f>SUM(P17,P20,P23)</f>
        <v>454474.22533333342</v>
      </c>
      <c r="T26" s="44"/>
      <c r="U26" s="44"/>
      <c r="V26" s="44"/>
    </row>
    <row r="27" spans="1:22" x14ac:dyDescent="0.25">
      <c r="A27" s="29" t="s">
        <v>21</v>
      </c>
      <c r="B27" s="6">
        <f>B26/B13</f>
        <v>10.694640936824458</v>
      </c>
      <c r="C27" s="6">
        <f t="shared" ref="C27:M27" si="15">C26/C13</f>
        <v>11.334067972510658</v>
      </c>
      <c r="D27" s="6">
        <f t="shared" si="15"/>
        <v>11.662390394564708</v>
      </c>
      <c r="E27" s="6">
        <f t="shared" si="15"/>
        <v>13.469243225302462</v>
      </c>
      <c r="F27" s="6">
        <f t="shared" si="15"/>
        <v>18.765347092690078</v>
      </c>
      <c r="G27" s="6">
        <f t="shared" si="15"/>
        <v>26.146543166128662</v>
      </c>
      <c r="H27" s="6">
        <f t="shared" si="15"/>
        <v>24.493508578983796</v>
      </c>
      <c r="I27" s="6">
        <f t="shared" si="15"/>
        <v>23.026221902729024</v>
      </c>
      <c r="J27" s="6">
        <f t="shared" si="15"/>
        <v>21.715079040974135</v>
      </c>
      <c r="K27" s="6">
        <f t="shared" si="15"/>
        <v>20.536449511587236</v>
      </c>
      <c r="L27" s="6">
        <f t="shared" si="15"/>
        <v>19.471242083663881</v>
      </c>
      <c r="M27" s="6">
        <f t="shared" si="15"/>
        <v>18.666604227935245</v>
      </c>
      <c r="P27" s="8">
        <f>P26/P13</f>
        <v>165.48400000000001</v>
      </c>
      <c r="T27" s="44"/>
      <c r="U27" s="44"/>
      <c r="V27" s="44"/>
    </row>
    <row r="28" spans="1:22" x14ac:dyDescent="0.25">
      <c r="A28" s="29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4"/>
      <c r="O28" s="44"/>
      <c r="Q28" s="44"/>
      <c r="R28" s="44"/>
      <c r="S28" s="44"/>
      <c r="T28" s="44"/>
      <c r="U28" s="44"/>
      <c r="V28" s="44"/>
    </row>
    <row r="29" spans="1:22" x14ac:dyDescent="0.25">
      <c r="A29" s="33" t="s">
        <v>22</v>
      </c>
      <c r="B29" s="6">
        <f>1.5/12</f>
        <v>0.125</v>
      </c>
      <c r="C29" s="6">
        <f t="shared" ref="C29:M29" si="16">1.5/12</f>
        <v>0.125</v>
      </c>
      <c r="D29" s="6">
        <f t="shared" si="16"/>
        <v>0.125</v>
      </c>
      <c r="E29" s="6">
        <f t="shared" si="16"/>
        <v>0.125</v>
      </c>
      <c r="F29" s="6">
        <f t="shared" si="16"/>
        <v>0.125</v>
      </c>
      <c r="G29" s="6">
        <f t="shared" si="16"/>
        <v>0.125</v>
      </c>
      <c r="H29" s="6">
        <f t="shared" si="16"/>
        <v>0.125</v>
      </c>
      <c r="I29" s="6">
        <f t="shared" si="16"/>
        <v>0.125</v>
      </c>
      <c r="J29" s="6">
        <f t="shared" si="16"/>
        <v>0.125</v>
      </c>
      <c r="K29" s="6">
        <f t="shared" si="16"/>
        <v>0.125</v>
      </c>
      <c r="L29" s="6">
        <f t="shared" si="16"/>
        <v>0.125</v>
      </c>
      <c r="M29" s="6">
        <f t="shared" si="16"/>
        <v>0.125</v>
      </c>
      <c r="N29" s="44"/>
      <c r="O29" s="44"/>
      <c r="P29" s="8">
        <v>1.5</v>
      </c>
      <c r="Q29" s="44"/>
      <c r="R29" s="44"/>
      <c r="S29" s="44"/>
      <c r="T29" s="44"/>
      <c r="U29" s="44"/>
      <c r="V29" s="44"/>
    </row>
    <row r="30" spans="1:22" x14ac:dyDescent="0.25">
      <c r="A30" s="33" t="s">
        <v>23</v>
      </c>
      <c r="B30" s="73">
        <f>$P$30/12</f>
        <v>3089.625</v>
      </c>
      <c r="C30" s="73">
        <f t="shared" ref="C30:M30" si="17">$P$30/12</f>
        <v>3089.625</v>
      </c>
      <c r="D30" s="73">
        <f t="shared" si="17"/>
        <v>3089.625</v>
      </c>
      <c r="E30" s="73">
        <f t="shared" si="17"/>
        <v>3089.625</v>
      </c>
      <c r="F30" s="73">
        <f t="shared" si="17"/>
        <v>3089.625</v>
      </c>
      <c r="G30" s="73">
        <f t="shared" si="17"/>
        <v>3089.625</v>
      </c>
      <c r="H30" s="73">
        <f t="shared" si="17"/>
        <v>3089.625</v>
      </c>
      <c r="I30" s="73">
        <f t="shared" si="17"/>
        <v>3089.625</v>
      </c>
      <c r="J30" s="73">
        <f t="shared" si="17"/>
        <v>3089.625</v>
      </c>
      <c r="K30" s="73">
        <f t="shared" si="17"/>
        <v>3089.625</v>
      </c>
      <c r="L30" s="73">
        <f t="shared" si="17"/>
        <v>3089.625</v>
      </c>
      <c r="M30" s="73">
        <f t="shared" si="17"/>
        <v>3089.625</v>
      </c>
      <c r="P30" s="11">
        <f>P29*P11</f>
        <v>37075.5</v>
      </c>
    </row>
    <row r="31" spans="1:22" x14ac:dyDescent="0.25">
      <c r="A31" s="29" t="s">
        <v>24</v>
      </c>
      <c r="B31" s="74">
        <f>B26+B30</f>
        <v>12179.109506666669</v>
      </c>
      <c r="C31" s="74">
        <f t="shared" ref="C31:M31" si="18">C26+C30</f>
        <v>16723.851760000001</v>
      </c>
      <c r="D31" s="74">
        <f t="shared" si="18"/>
        <v>21268.594013333339</v>
      </c>
      <c r="E31" s="74">
        <f t="shared" si="18"/>
        <v>25813.336266666673</v>
      </c>
      <c r="F31" s="74">
        <f t="shared" si="18"/>
        <v>37175.191900000005</v>
      </c>
      <c r="G31" s="74">
        <f t="shared" si="18"/>
        <v>53990.738237333338</v>
      </c>
      <c r="H31" s="74">
        <f t="shared" si="18"/>
        <v>53990.738237333338</v>
      </c>
      <c r="I31" s="74">
        <f t="shared" si="18"/>
        <v>53990.738237333338</v>
      </c>
      <c r="J31" s="74">
        <f t="shared" si="18"/>
        <v>53990.738237333338</v>
      </c>
      <c r="K31" s="74">
        <f t="shared" si="18"/>
        <v>53990.738237333338</v>
      </c>
      <c r="L31" s="74">
        <f t="shared" si="18"/>
        <v>53990.738237333338</v>
      </c>
      <c r="M31" s="74">
        <f t="shared" si="18"/>
        <v>54445.212462666685</v>
      </c>
      <c r="P31" s="11">
        <f>P26+P30</f>
        <v>491549.72533333342</v>
      </c>
    </row>
    <row r="32" spans="1:22" x14ac:dyDescent="0.25">
      <c r="A32" s="29" t="s">
        <v>384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27" x14ac:dyDescent="0.25">
      <c r="A33" s="33" t="s">
        <v>385</v>
      </c>
      <c r="B33" s="36">
        <v>0.5</v>
      </c>
      <c r="C33" s="36">
        <v>0.5</v>
      </c>
      <c r="D33" s="36">
        <v>0.5</v>
      </c>
      <c r="E33" s="36">
        <v>0.5</v>
      </c>
      <c r="F33" s="36">
        <v>0.5</v>
      </c>
      <c r="G33" s="36">
        <v>0.5</v>
      </c>
      <c r="H33" s="36">
        <v>0.5</v>
      </c>
      <c r="I33" s="36">
        <v>0.5</v>
      </c>
      <c r="J33" s="36">
        <v>0.5</v>
      </c>
      <c r="K33" s="36">
        <v>0.5</v>
      </c>
      <c r="L33" s="36">
        <v>0.5</v>
      </c>
      <c r="M33" s="36">
        <v>0.5</v>
      </c>
      <c r="P33" s="55">
        <v>0.5</v>
      </c>
    </row>
    <row r="34" spans="1:27" x14ac:dyDescent="0.25">
      <c r="A34" s="33" t="s">
        <v>386</v>
      </c>
      <c r="B34" s="36">
        <v>0.2</v>
      </c>
      <c r="C34" s="36">
        <v>0.2</v>
      </c>
      <c r="D34" s="36">
        <v>0.2</v>
      </c>
      <c r="E34" s="36">
        <v>0.2</v>
      </c>
      <c r="F34" s="36">
        <v>0.2</v>
      </c>
      <c r="G34" s="36">
        <v>0.2</v>
      </c>
      <c r="H34" s="36">
        <v>0.2</v>
      </c>
      <c r="I34" s="36">
        <v>0.2</v>
      </c>
      <c r="J34" s="36">
        <v>0.2</v>
      </c>
      <c r="K34" s="36">
        <v>0.2</v>
      </c>
      <c r="L34" s="36">
        <v>0.2</v>
      </c>
      <c r="M34" s="36">
        <v>0.2</v>
      </c>
      <c r="P34" s="55">
        <v>0.2</v>
      </c>
      <c r="Z34" s="15"/>
    </row>
    <row r="35" spans="1:27" x14ac:dyDescent="0.25">
      <c r="A35" s="33" t="s">
        <v>387</v>
      </c>
      <c r="B35" s="36">
        <v>0.3</v>
      </c>
      <c r="C35" s="36">
        <v>0.3</v>
      </c>
      <c r="D35" s="36">
        <v>0.3</v>
      </c>
      <c r="E35" s="36">
        <v>0.3</v>
      </c>
      <c r="F35" s="36">
        <v>0.3</v>
      </c>
      <c r="G35" s="36">
        <v>0.3</v>
      </c>
      <c r="H35" s="36">
        <v>0.3</v>
      </c>
      <c r="I35" s="36">
        <v>0.3</v>
      </c>
      <c r="J35" s="36">
        <v>0.3</v>
      </c>
      <c r="K35" s="36">
        <v>0.3</v>
      </c>
      <c r="L35" s="36">
        <v>0.3</v>
      </c>
      <c r="M35" s="36">
        <v>0.3</v>
      </c>
      <c r="P35" s="55">
        <v>0.3</v>
      </c>
      <c r="Z35" s="15"/>
      <c r="AA35" s="11"/>
    </row>
    <row r="36" spans="1:27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Z36" s="15"/>
      <c r="AA36" s="11"/>
    </row>
    <row r="37" spans="1:27" x14ac:dyDescent="0.25">
      <c r="A37" s="67" t="s">
        <v>388</v>
      </c>
      <c r="B37" s="75">
        <f>B31</f>
        <v>12179.109506666669</v>
      </c>
      <c r="C37" s="75">
        <f>C31</f>
        <v>16723.851760000001</v>
      </c>
      <c r="D37" s="75">
        <f t="shared" ref="D37:M37" si="19">D31</f>
        <v>21268.594013333339</v>
      </c>
      <c r="E37" s="75">
        <f t="shared" si="19"/>
        <v>25813.336266666673</v>
      </c>
      <c r="F37" s="75">
        <f t="shared" si="19"/>
        <v>37175.191900000005</v>
      </c>
      <c r="G37" s="75">
        <f t="shared" si="19"/>
        <v>53990.738237333338</v>
      </c>
      <c r="H37" s="75">
        <f t="shared" si="19"/>
        <v>53990.738237333338</v>
      </c>
      <c r="I37" s="75">
        <f t="shared" si="19"/>
        <v>53990.738237333338</v>
      </c>
      <c r="J37" s="75">
        <f t="shared" si="19"/>
        <v>53990.738237333338</v>
      </c>
      <c r="K37" s="75">
        <f t="shared" si="19"/>
        <v>53990.738237333338</v>
      </c>
      <c r="L37" s="75">
        <f t="shared" si="19"/>
        <v>53990.738237333338</v>
      </c>
      <c r="M37" s="75">
        <f t="shared" si="19"/>
        <v>54445.212462666685</v>
      </c>
      <c r="P37" s="36"/>
      <c r="Z37" s="15"/>
      <c r="AA37" s="11"/>
    </row>
    <row r="38" spans="1:27" x14ac:dyDescent="0.25">
      <c r="A38" s="26" t="s">
        <v>25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P38" s="27"/>
      <c r="Z38" s="15"/>
      <c r="AA38" s="11"/>
    </row>
    <row r="39" spans="1:27" x14ac:dyDescent="0.25">
      <c r="A39" s="29" t="s">
        <v>389</v>
      </c>
      <c r="B39" s="37">
        <f>$R$58*6650</f>
        <v>6650</v>
      </c>
      <c r="C39" s="37">
        <f>$R$58*6650</f>
        <v>6650</v>
      </c>
      <c r="D39" s="37">
        <f>$R$58*6650</f>
        <v>6650</v>
      </c>
      <c r="E39" s="37">
        <f t="shared" ref="E39:L39" si="20">$R$58*2227</f>
        <v>2227</v>
      </c>
      <c r="F39" s="37">
        <f t="shared" si="20"/>
        <v>2227</v>
      </c>
      <c r="G39" s="37">
        <f t="shared" si="20"/>
        <v>2227</v>
      </c>
      <c r="H39" s="37">
        <f t="shared" si="20"/>
        <v>2227</v>
      </c>
      <c r="I39" s="37">
        <f t="shared" si="20"/>
        <v>2227</v>
      </c>
      <c r="J39" s="37">
        <f t="shared" si="20"/>
        <v>2227</v>
      </c>
      <c r="K39" s="37">
        <f t="shared" si="20"/>
        <v>2227</v>
      </c>
      <c r="L39" s="37">
        <f t="shared" si="20"/>
        <v>2227</v>
      </c>
      <c r="M39" s="37">
        <f>$R$58*2234</f>
        <v>2234</v>
      </c>
      <c r="P39" s="37">
        <f>R58*40000</f>
        <v>40000</v>
      </c>
      <c r="Z39" s="15"/>
      <c r="AA39" s="11"/>
    </row>
    <row r="40" spans="1:27" x14ac:dyDescent="0.25">
      <c r="A40" s="33" t="s">
        <v>26</v>
      </c>
      <c r="B40" s="30">
        <f>B39*$A$44</f>
        <v>1662.5</v>
      </c>
      <c r="C40" s="30">
        <f t="shared" ref="C40:M40" si="21">C39*$A$44</f>
        <v>1662.5</v>
      </c>
      <c r="D40" s="30">
        <f t="shared" si="21"/>
        <v>1662.5</v>
      </c>
      <c r="E40" s="30">
        <f t="shared" si="21"/>
        <v>556.75</v>
      </c>
      <c r="F40" s="30">
        <f t="shared" si="21"/>
        <v>556.75</v>
      </c>
      <c r="G40" s="30">
        <f t="shared" si="21"/>
        <v>556.75</v>
      </c>
      <c r="H40" s="30">
        <f t="shared" si="21"/>
        <v>556.75</v>
      </c>
      <c r="I40" s="30">
        <f t="shared" si="21"/>
        <v>556.75</v>
      </c>
      <c r="J40" s="30">
        <f t="shared" si="21"/>
        <v>556.75</v>
      </c>
      <c r="K40" s="30">
        <f t="shared" si="21"/>
        <v>556.75</v>
      </c>
      <c r="L40" s="30">
        <f t="shared" si="21"/>
        <v>556.75</v>
      </c>
      <c r="M40" s="30">
        <f t="shared" si="21"/>
        <v>558.5</v>
      </c>
      <c r="P40" s="30">
        <f>P39*$A$44</f>
        <v>10000</v>
      </c>
      <c r="Z40" s="15"/>
      <c r="AA40" s="11"/>
    </row>
    <row r="41" spans="1:27" x14ac:dyDescent="0.25">
      <c r="A41" s="33" t="s">
        <v>27</v>
      </c>
      <c r="B41" s="30">
        <f>B39*$A$45</f>
        <v>3325</v>
      </c>
      <c r="C41" s="30">
        <f t="shared" ref="C41:M41" si="22">C39*$A$45</f>
        <v>3325</v>
      </c>
      <c r="D41" s="30">
        <f t="shared" si="22"/>
        <v>3325</v>
      </c>
      <c r="E41" s="30">
        <f t="shared" si="22"/>
        <v>1113.5</v>
      </c>
      <c r="F41" s="30">
        <f t="shared" si="22"/>
        <v>1113.5</v>
      </c>
      <c r="G41" s="30">
        <f t="shared" si="22"/>
        <v>1113.5</v>
      </c>
      <c r="H41" s="30">
        <f t="shared" si="22"/>
        <v>1113.5</v>
      </c>
      <c r="I41" s="30">
        <f t="shared" si="22"/>
        <v>1113.5</v>
      </c>
      <c r="J41" s="30">
        <f t="shared" si="22"/>
        <v>1113.5</v>
      </c>
      <c r="K41" s="30">
        <f t="shared" si="22"/>
        <v>1113.5</v>
      </c>
      <c r="L41" s="30">
        <f t="shared" si="22"/>
        <v>1113.5</v>
      </c>
      <c r="M41" s="30">
        <f t="shared" si="22"/>
        <v>1117</v>
      </c>
      <c r="P41" s="30">
        <f>P39*$A$45</f>
        <v>20000</v>
      </c>
      <c r="Z41" s="15"/>
      <c r="AA41" s="11"/>
    </row>
    <row r="42" spans="1:27" x14ac:dyDescent="0.25">
      <c r="A42" s="33" t="s">
        <v>28</v>
      </c>
      <c r="B42" s="30">
        <f>B39*$A$46</f>
        <v>1662.5</v>
      </c>
      <c r="C42" s="30">
        <f t="shared" ref="C42:M42" si="23">C39*$A$46</f>
        <v>1662.5</v>
      </c>
      <c r="D42" s="30">
        <f t="shared" si="23"/>
        <v>1662.5</v>
      </c>
      <c r="E42" s="30">
        <f t="shared" si="23"/>
        <v>556.75</v>
      </c>
      <c r="F42" s="30">
        <f t="shared" si="23"/>
        <v>556.75</v>
      </c>
      <c r="G42" s="30">
        <f t="shared" si="23"/>
        <v>556.75</v>
      </c>
      <c r="H42" s="30">
        <f t="shared" si="23"/>
        <v>556.75</v>
      </c>
      <c r="I42" s="30">
        <f t="shared" si="23"/>
        <v>556.75</v>
      </c>
      <c r="J42" s="30">
        <f t="shared" si="23"/>
        <v>556.75</v>
      </c>
      <c r="K42" s="30">
        <f t="shared" si="23"/>
        <v>556.75</v>
      </c>
      <c r="L42" s="30">
        <f t="shared" si="23"/>
        <v>556.75</v>
      </c>
      <c r="M42" s="30">
        <f t="shared" si="23"/>
        <v>558.5</v>
      </c>
      <c r="P42" s="30">
        <f>P39*$A$46</f>
        <v>10000</v>
      </c>
      <c r="Z42" s="15"/>
      <c r="AA42" s="11"/>
    </row>
    <row r="43" spans="1:27" hidden="1" x14ac:dyDescent="0.25">
      <c r="A43" s="31" t="s">
        <v>29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P43" s="3"/>
      <c r="Z43" s="15"/>
      <c r="AA43" s="11"/>
    </row>
    <row r="44" spans="1:27" hidden="1" x14ac:dyDescent="0.25">
      <c r="A44" s="39">
        <v>0.25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P44" s="3"/>
      <c r="Z44" s="15"/>
      <c r="AA44" s="11"/>
    </row>
    <row r="45" spans="1:27" hidden="1" x14ac:dyDescent="0.25">
      <c r="A45" s="39">
        <v>0.5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P45" s="3"/>
    </row>
    <row r="46" spans="1:27" hidden="1" x14ac:dyDescent="0.25">
      <c r="A46" s="39">
        <v>0.25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P46" s="3"/>
    </row>
    <row r="47" spans="1:27" x14ac:dyDescent="0.25">
      <c r="A47" s="3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O47" s="5"/>
      <c r="P47" s="3"/>
    </row>
    <row r="48" spans="1:27" x14ac:dyDescent="0.25">
      <c r="A48" s="29" t="s">
        <v>390</v>
      </c>
    </row>
    <row r="49" spans="1:18" x14ac:dyDescent="0.25">
      <c r="A49" s="33" t="s">
        <v>31</v>
      </c>
      <c r="B49" s="6">
        <v>2.5</v>
      </c>
      <c r="C49" s="6">
        <v>2.5</v>
      </c>
      <c r="D49" s="6">
        <v>2.5</v>
      </c>
      <c r="E49" s="6">
        <v>2.5</v>
      </c>
      <c r="F49" s="6">
        <v>2.5</v>
      </c>
      <c r="G49" s="6">
        <v>2.5</v>
      </c>
      <c r="H49" s="6">
        <v>2.5</v>
      </c>
      <c r="I49" s="6">
        <v>2.5</v>
      </c>
      <c r="J49" s="6">
        <v>2.5</v>
      </c>
      <c r="K49" s="6">
        <v>2.5</v>
      </c>
      <c r="L49" s="6">
        <v>2.5</v>
      </c>
      <c r="M49" s="6">
        <v>2.5</v>
      </c>
      <c r="P49" s="6">
        <v>2.5</v>
      </c>
      <c r="Q49" s="8"/>
    </row>
    <row r="50" spans="1:18" x14ac:dyDescent="0.25">
      <c r="A50" s="33" t="s">
        <v>32</v>
      </c>
      <c r="B50" s="6">
        <v>2</v>
      </c>
      <c r="C50" s="6">
        <v>2</v>
      </c>
      <c r="D50" s="6">
        <v>2</v>
      </c>
      <c r="E50" s="6">
        <v>2</v>
      </c>
      <c r="F50" s="6">
        <v>2</v>
      </c>
      <c r="G50" s="6">
        <v>2</v>
      </c>
      <c r="H50" s="6">
        <v>2</v>
      </c>
      <c r="I50" s="6">
        <v>2</v>
      </c>
      <c r="J50" s="6">
        <v>2</v>
      </c>
      <c r="K50" s="6">
        <v>2</v>
      </c>
      <c r="L50" s="6">
        <v>2</v>
      </c>
      <c r="M50" s="6">
        <v>2</v>
      </c>
      <c r="P50" s="6">
        <v>2</v>
      </c>
    </row>
    <row r="51" spans="1:18" x14ac:dyDescent="0.25">
      <c r="A51" s="33" t="s">
        <v>33</v>
      </c>
      <c r="B51" s="6">
        <v>1.5</v>
      </c>
      <c r="C51" s="6">
        <v>1.5</v>
      </c>
      <c r="D51" s="6">
        <v>1.5</v>
      </c>
      <c r="E51" s="6">
        <v>1.5</v>
      </c>
      <c r="F51" s="6">
        <v>1.5</v>
      </c>
      <c r="G51" s="6">
        <v>1.5</v>
      </c>
      <c r="H51" s="6">
        <v>1.5</v>
      </c>
      <c r="I51" s="6">
        <v>1.5</v>
      </c>
      <c r="J51" s="6">
        <v>1.5</v>
      </c>
      <c r="K51" s="6">
        <v>1.5</v>
      </c>
      <c r="L51" s="6">
        <v>1.5</v>
      </c>
      <c r="M51" s="6">
        <v>1.5</v>
      </c>
      <c r="P51" s="6">
        <v>1.5</v>
      </c>
    </row>
    <row r="52" spans="1:18" x14ac:dyDescent="0.25">
      <c r="A52" s="31" t="s">
        <v>34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P52" s="9"/>
    </row>
    <row r="53" spans="1:18" x14ac:dyDescent="0.25">
      <c r="A53" s="33" t="s">
        <v>31</v>
      </c>
      <c r="B53" s="3">
        <f>B40/B49</f>
        <v>665</v>
      </c>
      <c r="C53" s="3">
        <f t="shared" ref="C53:M55" si="24">C40/C49</f>
        <v>665</v>
      </c>
      <c r="D53" s="3">
        <f t="shared" si="24"/>
        <v>665</v>
      </c>
      <c r="E53" s="3">
        <f t="shared" si="24"/>
        <v>222.7</v>
      </c>
      <c r="F53" s="3">
        <f t="shared" si="24"/>
        <v>222.7</v>
      </c>
      <c r="G53" s="3">
        <f t="shared" si="24"/>
        <v>222.7</v>
      </c>
      <c r="H53" s="3">
        <f t="shared" si="24"/>
        <v>222.7</v>
      </c>
      <c r="I53" s="3">
        <f t="shared" si="24"/>
        <v>222.7</v>
      </c>
      <c r="J53" s="3">
        <f t="shared" si="24"/>
        <v>222.7</v>
      </c>
      <c r="K53" s="3">
        <f t="shared" si="24"/>
        <v>222.7</v>
      </c>
      <c r="L53" s="3">
        <f t="shared" si="24"/>
        <v>222.7</v>
      </c>
      <c r="M53" s="3">
        <f t="shared" si="24"/>
        <v>223.4</v>
      </c>
      <c r="O53" s="5"/>
      <c r="P53" s="3">
        <f>P40/P49</f>
        <v>4000</v>
      </c>
    </row>
    <row r="54" spans="1:18" x14ac:dyDescent="0.25">
      <c r="A54" s="33" t="s">
        <v>32</v>
      </c>
      <c r="B54" s="3">
        <f>B41/B50</f>
        <v>1662.5</v>
      </c>
      <c r="C54" s="3">
        <f>C41/C50</f>
        <v>1662.5</v>
      </c>
      <c r="D54" s="3">
        <f t="shared" si="24"/>
        <v>1662.5</v>
      </c>
      <c r="E54" s="3">
        <f>E41/E50</f>
        <v>556.75</v>
      </c>
      <c r="F54" s="3">
        <f t="shared" si="24"/>
        <v>556.75</v>
      </c>
      <c r="G54" s="3">
        <f t="shared" si="24"/>
        <v>556.75</v>
      </c>
      <c r="H54" s="3">
        <f t="shared" si="24"/>
        <v>556.75</v>
      </c>
      <c r="I54" s="3">
        <f t="shared" si="24"/>
        <v>556.75</v>
      </c>
      <c r="J54" s="3">
        <f t="shared" si="24"/>
        <v>556.75</v>
      </c>
      <c r="K54" s="3">
        <f t="shared" si="24"/>
        <v>556.75</v>
      </c>
      <c r="L54" s="3">
        <f t="shared" si="24"/>
        <v>556.75</v>
      </c>
      <c r="M54" s="3">
        <f t="shared" si="24"/>
        <v>558.5</v>
      </c>
      <c r="P54" s="3">
        <f>P41/P50</f>
        <v>10000</v>
      </c>
    </row>
    <row r="55" spans="1:18" x14ac:dyDescent="0.25">
      <c r="A55" s="33" t="s">
        <v>33</v>
      </c>
      <c r="B55" s="3">
        <f>B42/B51</f>
        <v>1108.3333333333333</v>
      </c>
      <c r="C55" s="3">
        <f t="shared" ref="C55:K55" si="25">C42/C51</f>
        <v>1108.3333333333333</v>
      </c>
      <c r="D55" s="3">
        <f t="shared" si="25"/>
        <v>1108.3333333333333</v>
      </c>
      <c r="E55" s="3">
        <f t="shared" si="25"/>
        <v>371.16666666666669</v>
      </c>
      <c r="F55" s="3">
        <f t="shared" si="25"/>
        <v>371.16666666666669</v>
      </c>
      <c r="G55" s="3">
        <f t="shared" si="25"/>
        <v>371.16666666666669</v>
      </c>
      <c r="H55" s="3">
        <f t="shared" si="25"/>
        <v>371.16666666666669</v>
      </c>
      <c r="I55" s="3">
        <f t="shared" si="25"/>
        <v>371.16666666666669</v>
      </c>
      <c r="J55" s="3">
        <f t="shared" si="25"/>
        <v>371.16666666666669</v>
      </c>
      <c r="K55" s="3">
        <f t="shared" si="25"/>
        <v>371.16666666666669</v>
      </c>
      <c r="L55" s="3">
        <f t="shared" si="24"/>
        <v>371.16666666666669</v>
      </c>
      <c r="M55" s="3">
        <f t="shared" si="24"/>
        <v>372.33333333333331</v>
      </c>
      <c r="P55" s="3">
        <f>P42/P51</f>
        <v>6666.666666666667</v>
      </c>
    </row>
    <row r="56" spans="1:18" x14ac:dyDescent="0.25">
      <c r="A56" s="7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P56" s="3"/>
    </row>
    <row r="57" spans="1:18" x14ac:dyDescent="0.25">
      <c r="A57" s="26" t="s">
        <v>35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P57" s="28"/>
    </row>
    <row r="58" spans="1:18" x14ac:dyDescent="0.25">
      <c r="A58" s="29" t="s">
        <v>36</v>
      </c>
      <c r="B58" s="37">
        <f t="shared" ref="B58:M58" si="26">SUM(B40:B42)</f>
        <v>6650</v>
      </c>
      <c r="C58" s="37">
        <f t="shared" si="26"/>
        <v>6650</v>
      </c>
      <c r="D58" s="37">
        <f t="shared" si="26"/>
        <v>6650</v>
      </c>
      <c r="E58" s="37">
        <f t="shared" si="26"/>
        <v>2227</v>
      </c>
      <c r="F58" s="37">
        <f t="shared" si="26"/>
        <v>2227</v>
      </c>
      <c r="G58" s="37">
        <f t="shared" si="26"/>
        <v>2227</v>
      </c>
      <c r="H58" s="37">
        <f t="shared" si="26"/>
        <v>2227</v>
      </c>
      <c r="I58" s="37">
        <f t="shared" si="26"/>
        <v>2227</v>
      </c>
      <c r="J58" s="37">
        <f t="shared" si="26"/>
        <v>2227</v>
      </c>
      <c r="K58" s="37">
        <f t="shared" si="26"/>
        <v>2227</v>
      </c>
      <c r="L58" s="37">
        <f t="shared" si="26"/>
        <v>2227</v>
      </c>
      <c r="M58" s="37">
        <f t="shared" si="26"/>
        <v>2234</v>
      </c>
      <c r="P58" s="37">
        <f>SUM(P40:P42)</f>
        <v>40000</v>
      </c>
      <c r="R58">
        <v>1</v>
      </c>
    </row>
    <row r="59" spans="1:18" x14ac:dyDescent="0.25">
      <c r="A59" s="29"/>
      <c r="B59" s="38"/>
      <c r="C59" s="38"/>
      <c r="D59" s="38"/>
      <c r="E59" s="38"/>
      <c r="F59" s="38"/>
      <c r="G59" s="38"/>
      <c r="H59" s="38"/>
      <c r="I59" s="38"/>
      <c r="J59" s="38"/>
      <c r="K59" s="38"/>
      <c r="P59" s="38"/>
    </row>
    <row r="60" spans="1:18" x14ac:dyDescent="0.25">
      <c r="A60" s="29" t="s">
        <v>37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P60" s="38"/>
    </row>
    <row r="61" spans="1:18" x14ac:dyDescent="0.25">
      <c r="A61" s="33" t="s">
        <v>359</v>
      </c>
      <c r="B61" s="58">
        <f>$P$61/12</f>
        <v>4166.666666666667</v>
      </c>
      <c r="C61" s="58">
        <f t="shared" ref="C61:M61" si="27">$P$61/12</f>
        <v>4166.666666666667</v>
      </c>
      <c r="D61" s="58">
        <f t="shared" si="27"/>
        <v>4166.666666666667</v>
      </c>
      <c r="E61" s="58">
        <f t="shared" si="27"/>
        <v>4166.666666666667</v>
      </c>
      <c r="F61" s="58">
        <f t="shared" si="27"/>
        <v>4166.666666666667</v>
      </c>
      <c r="G61" s="58">
        <f t="shared" si="27"/>
        <v>4166.666666666667</v>
      </c>
      <c r="H61" s="58">
        <f t="shared" si="27"/>
        <v>4166.666666666667</v>
      </c>
      <c r="I61" s="58">
        <f t="shared" si="27"/>
        <v>4166.666666666667</v>
      </c>
      <c r="J61" s="58">
        <f t="shared" si="27"/>
        <v>4166.666666666667</v>
      </c>
      <c r="K61" s="58">
        <f t="shared" si="27"/>
        <v>4166.666666666667</v>
      </c>
      <c r="L61" s="58">
        <f t="shared" si="27"/>
        <v>4166.666666666667</v>
      </c>
      <c r="M61" s="58">
        <f t="shared" si="27"/>
        <v>4166.666666666667</v>
      </c>
      <c r="P61" s="30">
        <v>50000</v>
      </c>
    </row>
    <row r="62" spans="1:18" x14ac:dyDescent="0.25">
      <c r="A62" s="40" t="s">
        <v>391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P62" s="3"/>
    </row>
    <row r="63" spans="1:18" x14ac:dyDescent="0.25">
      <c r="A63" s="33" t="s">
        <v>38</v>
      </c>
      <c r="B63" s="30">
        <f>$P$63/12</f>
        <v>0</v>
      </c>
      <c r="C63" s="30">
        <f t="shared" ref="C63:M63" si="28">$P$63/12</f>
        <v>0</v>
      </c>
      <c r="D63" s="30">
        <f t="shared" si="28"/>
        <v>0</v>
      </c>
      <c r="E63" s="30">
        <f t="shared" si="28"/>
        <v>0</v>
      </c>
      <c r="F63" s="30">
        <f t="shared" si="28"/>
        <v>0</v>
      </c>
      <c r="G63" s="30">
        <f t="shared" si="28"/>
        <v>0</v>
      </c>
      <c r="H63" s="30">
        <f t="shared" si="28"/>
        <v>0</v>
      </c>
      <c r="I63" s="30">
        <f t="shared" si="28"/>
        <v>0</v>
      </c>
      <c r="J63" s="30">
        <f t="shared" si="28"/>
        <v>0</v>
      </c>
      <c r="K63" s="30">
        <f t="shared" si="28"/>
        <v>0</v>
      </c>
      <c r="L63" s="30">
        <f t="shared" si="28"/>
        <v>0</v>
      </c>
      <c r="M63" s="30">
        <f t="shared" si="28"/>
        <v>0</v>
      </c>
      <c r="P63" s="30">
        <f>20000*P62</f>
        <v>0</v>
      </c>
    </row>
    <row r="64" spans="1:18" x14ac:dyDescent="0.25">
      <c r="A64" s="41" t="s">
        <v>392</v>
      </c>
      <c r="B64" s="3">
        <v>1</v>
      </c>
      <c r="C64" s="3">
        <v>1</v>
      </c>
      <c r="D64" s="3">
        <v>1</v>
      </c>
      <c r="E64" s="3">
        <v>1</v>
      </c>
      <c r="F64" s="3">
        <v>1</v>
      </c>
      <c r="G64" s="3">
        <v>1</v>
      </c>
      <c r="H64" s="3">
        <v>1</v>
      </c>
      <c r="I64" s="3">
        <v>1</v>
      </c>
      <c r="J64" s="3">
        <v>1</v>
      </c>
      <c r="K64" s="3">
        <v>1</v>
      </c>
      <c r="L64" s="3">
        <v>1</v>
      </c>
      <c r="M64" s="3">
        <v>1</v>
      </c>
      <c r="P64" s="3">
        <v>1</v>
      </c>
    </row>
    <row r="65" spans="1:16" x14ac:dyDescent="0.25">
      <c r="A65" s="33" t="s">
        <v>39</v>
      </c>
      <c r="B65" s="30">
        <f>$P$65/12</f>
        <v>2500</v>
      </c>
      <c r="C65" s="30">
        <f t="shared" ref="C65:M65" si="29">$P$65/12</f>
        <v>2500</v>
      </c>
      <c r="D65" s="30">
        <f t="shared" si="29"/>
        <v>2500</v>
      </c>
      <c r="E65" s="30">
        <f t="shared" si="29"/>
        <v>2500</v>
      </c>
      <c r="F65" s="30">
        <f t="shared" si="29"/>
        <v>2500</v>
      </c>
      <c r="G65" s="30">
        <f t="shared" si="29"/>
        <v>2500</v>
      </c>
      <c r="H65" s="30">
        <f t="shared" si="29"/>
        <v>2500</v>
      </c>
      <c r="I65" s="30">
        <f t="shared" si="29"/>
        <v>2500</v>
      </c>
      <c r="J65" s="30">
        <f t="shared" si="29"/>
        <v>2500</v>
      </c>
      <c r="K65" s="30">
        <f t="shared" si="29"/>
        <v>2500</v>
      </c>
      <c r="L65" s="30">
        <f t="shared" si="29"/>
        <v>2500</v>
      </c>
      <c r="M65" s="30">
        <f t="shared" si="29"/>
        <v>2500</v>
      </c>
      <c r="P65" s="30">
        <f>30000*P64</f>
        <v>30000</v>
      </c>
    </row>
    <row r="66" spans="1:16" x14ac:dyDescent="0.25">
      <c r="A66" s="31" t="s">
        <v>40</v>
      </c>
      <c r="B66" s="37">
        <f>SUM(B65,B63,B61)</f>
        <v>6666.666666666667</v>
      </c>
      <c r="C66" s="37">
        <f t="shared" ref="C66:M66" si="30">SUM(C65,C63,C61)</f>
        <v>6666.666666666667</v>
      </c>
      <c r="D66" s="37">
        <f t="shared" si="30"/>
        <v>6666.666666666667</v>
      </c>
      <c r="E66" s="37">
        <f t="shared" si="30"/>
        <v>6666.666666666667</v>
      </c>
      <c r="F66" s="37">
        <f t="shared" si="30"/>
        <v>6666.666666666667</v>
      </c>
      <c r="G66" s="37">
        <f t="shared" si="30"/>
        <v>6666.666666666667</v>
      </c>
      <c r="H66" s="37">
        <f t="shared" si="30"/>
        <v>6666.666666666667</v>
      </c>
      <c r="I66" s="37">
        <f t="shared" si="30"/>
        <v>6666.666666666667</v>
      </c>
      <c r="J66" s="37">
        <f t="shared" si="30"/>
        <v>6666.666666666667</v>
      </c>
      <c r="K66" s="37">
        <f t="shared" si="30"/>
        <v>6666.666666666667</v>
      </c>
      <c r="L66" s="37">
        <f t="shared" si="30"/>
        <v>6666.666666666667</v>
      </c>
      <c r="M66" s="37">
        <f t="shared" si="30"/>
        <v>6666.666666666667</v>
      </c>
      <c r="P66" s="37">
        <f>SUM(P65,P63)</f>
        <v>30000</v>
      </c>
    </row>
    <row r="67" spans="1:16" x14ac:dyDescent="0.25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  <c r="P67" s="3"/>
    </row>
    <row r="68" spans="1:16" x14ac:dyDescent="0.25">
      <c r="A68" s="29" t="s">
        <v>393</v>
      </c>
      <c r="B68" s="3"/>
      <c r="C68" s="3"/>
      <c r="D68" s="3"/>
      <c r="E68" s="3"/>
      <c r="F68" s="3"/>
      <c r="G68" s="3"/>
      <c r="H68" s="3"/>
      <c r="I68" s="3"/>
      <c r="J68" s="3"/>
      <c r="K68" s="3"/>
      <c r="P68" s="3"/>
    </row>
    <row r="69" spans="1:16" x14ac:dyDescent="0.25">
      <c r="A69" s="33" t="s">
        <v>41</v>
      </c>
      <c r="B69" s="30">
        <f>$P$69/12</f>
        <v>416.66666666666669</v>
      </c>
      <c r="C69" s="30">
        <f t="shared" ref="C69:M69" si="31">$P$69/12</f>
        <v>416.66666666666669</v>
      </c>
      <c r="D69" s="30">
        <f t="shared" si="31"/>
        <v>416.66666666666669</v>
      </c>
      <c r="E69" s="30">
        <f t="shared" si="31"/>
        <v>416.66666666666669</v>
      </c>
      <c r="F69" s="30">
        <f t="shared" si="31"/>
        <v>416.66666666666669</v>
      </c>
      <c r="G69" s="30">
        <f t="shared" si="31"/>
        <v>416.66666666666669</v>
      </c>
      <c r="H69" s="30">
        <f t="shared" si="31"/>
        <v>416.66666666666669</v>
      </c>
      <c r="I69" s="30">
        <f t="shared" si="31"/>
        <v>416.66666666666669</v>
      </c>
      <c r="J69" s="30">
        <f t="shared" si="31"/>
        <v>416.66666666666669</v>
      </c>
      <c r="K69" s="30">
        <f t="shared" si="31"/>
        <v>416.66666666666669</v>
      </c>
      <c r="L69" s="30">
        <f t="shared" si="31"/>
        <v>416.66666666666669</v>
      </c>
      <c r="M69" s="30">
        <f t="shared" si="31"/>
        <v>416.66666666666669</v>
      </c>
      <c r="P69" s="30">
        <v>5000</v>
      </c>
    </row>
    <row r="70" spans="1:16" x14ac:dyDescent="0.25">
      <c r="A70" s="33" t="s">
        <v>42</v>
      </c>
      <c r="B70" s="30">
        <f>$P$70/12</f>
        <v>166.66666666666666</v>
      </c>
      <c r="C70" s="30">
        <f t="shared" ref="C70:L70" si="32">$P$70/12</f>
        <v>166.66666666666666</v>
      </c>
      <c r="D70" s="30">
        <f t="shared" si="32"/>
        <v>166.66666666666666</v>
      </c>
      <c r="E70" s="30">
        <f t="shared" si="32"/>
        <v>166.66666666666666</v>
      </c>
      <c r="F70" s="30">
        <f t="shared" si="32"/>
        <v>166.66666666666666</v>
      </c>
      <c r="G70" s="30">
        <f t="shared" si="32"/>
        <v>166.66666666666666</v>
      </c>
      <c r="H70" s="30">
        <f t="shared" si="32"/>
        <v>166.66666666666666</v>
      </c>
      <c r="I70" s="30">
        <f t="shared" si="32"/>
        <v>166.66666666666666</v>
      </c>
      <c r="J70" s="30">
        <f t="shared" si="32"/>
        <v>166.66666666666666</v>
      </c>
      <c r="K70" s="30">
        <f t="shared" si="32"/>
        <v>166.66666666666666</v>
      </c>
      <c r="L70" s="30">
        <f t="shared" si="32"/>
        <v>166.66666666666666</v>
      </c>
      <c r="M70" s="30">
        <f>$P$70/12</f>
        <v>166.66666666666666</v>
      </c>
      <c r="P70" s="30">
        <v>2000</v>
      </c>
    </row>
    <row r="71" spans="1:16" x14ac:dyDescent="0.25">
      <c r="A71" s="4"/>
      <c r="B71" s="30"/>
      <c r="C71" s="30"/>
      <c r="D71" s="30"/>
      <c r="E71" s="30"/>
      <c r="F71" s="30"/>
      <c r="G71" s="30"/>
      <c r="H71" s="30"/>
      <c r="I71" s="30"/>
      <c r="J71" s="30"/>
      <c r="K71" s="30"/>
      <c r="P71" s="30"/>
    </row>
    <row r="72" spans="1:16" x14ac:dyDescent="0.25">
      <c r="A72" s="29" t="s">
        <v>43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P72" s="30"/>
    </row>
    <row r="73" spans="1:16" x14ac:dyDescent="0.25">
      <c r="A73" s="33" t="s">
        <v>44</v>
      </c>
      <c r="B73" s="30">
        <f>$P$73/12</f>
        <v>8.25</v>
      </c>
      <c r="C73" s="30">
        <f t="shared" ref="C73:M73" si="33">$P$73/12</f>
        <v>8.25</v>
      </c>
      <c r="D73" s="30">
        <f t="shared" si="33"/>
        <v>8.25</v>
      </c>
      <c r="E73" s="30">
        <f t="shared" si="33"/>
        <v>8.25</v>
      </c>
      <c r="F73" s="30">
        <f t="shared" si="33"/>
        <v>8.25</v>
      </c>
      <c r="G73" s="30">
        <f t="shared" si="33"/>
        <v>8.25</v>
      </c>
      <c r="H73" s="30">
        <f t="shared" si="33"/>
        <v>8.25</v>
      </c>
      <c r="I73" s="30">
        <f t="shared" si="33"/>
        <v>8.25</v>
      </c>
      <c r="J73" s="30">
        <f t="shared" si="33"/>
        <v>8.25</v>
      </c>
      <c r="K73" s="30">
        <f t="shared" si="33"/>
        <v>8.25</v>
      </c>
      <c r="L73" s="30">
        <f t="shared" si="33"/>
        <v>8.25</v>
      </c>
      <c r="M73" s="30">
        <f t="shared" si="33"/>
        <v>8.25</v>
      </c>
      <c r="P73" s="30">
        <v>99</v>
      </c>
    </row>
    <row r="74" spans="1:16" x14ac:dyDescent="0.25">
      <c r="A74" s="33" t="s">
        <v>45</v>
      </c>
      <c r="B74" s="30">
        <f>$P$74/12</f>
        <v>21</v>
      </c>
      <c r="C74" s="30">
        <f t="shared" ref="C74:M74" si="34">$P$74/12</f>
        <v>21</v>
      </c>
      <c r="D74" s="30">
        <f t="shared" si="34"/>
        <v>21</v>
      </c>
      <c r="E74" s="30">
        <f t="shared" si="34"/>
        <v>21</v>
      </c>
      <c r="F74" s="30">
        <f t="shared" si="34"/>
        <v>21</v>
      </c>
      <c r="G74" s="30">
        <f t="shared" si="34"/>
        <v>21</v>
      </c>
      <c r="H74" s="30">
        <f t="shared" si="34"/>
        <v>21</v>
      </c>
      <c r="I74" s="30">
        <f t="shared" si="34"/>
        <v>21</v>
      </c>
      <c r="J74" s="30">
        <f t="shared" si="34"/>
        <v>21</v>
      </c>
      <c r="K74" s="30">
        <f t="shared" si="34"/>
        <v>21</v>
      </c>
      <c r="L74" s="30">
        <f t="shared" si="34"/>
        <v>21</v>
      </c>
      <c r="M74" s="30">
        <f t="shared" si="34"/>
        <v>21</v>
      </c>
      <c r="P74" s="30">
        <v>252</v>
      </c>
    </row>
    <row r="75" spans="1:16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P75" s="4"/>
    </row>
    <row r="76" spans="1:16" x14ac:dyDescent="0.25">
      <c r="A76" s="31" t="s">
        <v>394</v>
      </c>
      <c r="B76" s="32"/>
      <c r="C76" s="32"/>
      <c r="D76" s="32"/>
      <c r="E76" s="32"/>
      <c r="F76" s="32"/>
      <c r="G76" s="32"/>
      <c r="H76" s="32"/>
      <c r="I76" s="32"/>
      <c r="J76" s="32"/>
      <c r="K76" s="32"/>
      <c r="O76" s="5"/>
      <c r="P76" s="32"/>
    </row>
    <row r="77" spans="1:16" x14ac:dyDescent="0.25">
      <c r="A77" s="33" t="s">
        <v>46</v>
      </c>
      <c r="B77" s="30">
        <f>$P$77/12</f>
        <v>49.083333333333336</v>
      </c>
      <c r="C77" s="30">
        <f t="shared" ref="C77:M77" si="35">$P$77/12</f>
        <v>49.083333333333336</v>
      </c>
      <c r="D77" s="30">
        <f t="shared" si="35"/>
        <v>49.083333333333336</v>
      </c>
      <c r="E77" s="30">
        <f t="shared" si="35"/>
        <v>49.083333333333336</v>
      </c>
      <c r="F77" s="30">
        <f t="shared" si="35"/>
        <v>49.083333333333336</v>
      </c>
      <c r="G77" s="30">
        <f t="shared" si="35"/>
        <v>49.083333333333336</v>
      </c>
      <c r="H77" s="30">
        <f t="shared" si="35"/>
        <v>49.083333333333336</v>
      </c>
      <c r="I77" s="30">
        <f t="shared" si="35"/>
        <v>49.083333333333336</v>
      </c>
      <c r="J77" s="30">
        <f t="shared" si="35"/>
        <v>49.083333333333336</v>
      </c>
      <c r="K77" s="30">
        <f t="shared" si="35"/>
        <v>49.083333333333336</v>
      </c>
      <c r="L77" s="30">
        <f t="shared" si="35"/>
        <v>49.083333333333336</v>
      </c>
      <c r="M77" s="30">
        <f t="shared" si="35"/>
        <v>49.083333333333336</v>
      </c>
      <c r="O77" s="5"/>
      <c r="P77" s="30">
        <v>589</v>
      </c>
    </row>
    <row r="78" spans="1:16" x14ac:dyDescent="0.25">
      <c r="A78" s="33" t="s">
        <v>47</v>
      </c>
      <c r="B78" s="30">
        <f>$P$78/12</f>
        <v>33.416666666666664</v>
      </c>
      <c r="C78" s="30">
        <f t="shared" ref="C78:M78" si="36">$P$78/12</f>
        <v>33.416666666666664</v>
      </c>
      <c r="D78" s="30">
        <f t="shared" si="36"/>
        <v>33.416666666666664</v>
      </c>
      <c r="E78" s="30">
        <f t="shared" si="36"/>
        <v>33.416666666666664</v>
      </c>
      <c r="F78" s="30">
        <f t="shared" si="36"/>
        <v>33.416666666666664</v>
      </c>
      <c r="G78" s="30">
        <f t="shared" si="36"/>
        <v>33.416666666666664</v>
      </c>
      <c r="H78" s="30">
        <f t="shared" si="36"/>
        <v>33.416666666666664</v>
      </c>
      <c r="I78" s="30">
        <f t="shared" si="36"/>
        <v>33.416666666666664</v>
      </c>
      <c r="J78" s="30">
        <f t="shared" si="36"/>
        <v>33.416666666666664</v>
      </c>
      <c r="K78" s="30">
        <f t="shared" si="36"/>
        <v>33.416666666666664</v>
      </c>
      <c r="L78" s="30">
        <f t="shared" si="36"/>
        <v>33.416666666666664</v>
      </c>
      <c r="M78" s="30">
        <f t="shared" si="36"/>
        <v>33.416666666666664</v>
      </c>
      <c r="O78" s="5"/>
      <c r="P78" s="30">
        <v>401</v>
      </c>
    </row>
    <row r="79" spans="1:16" x14ac:dyDescent="0.25">
      <c r="A79" s="33" t="s">
        <v>48</v>
      </c>
      <c r="B79" s="30">
        <f>$P$79/12</f>
        <v>15</v>
      </c>
      <c r="C79" s="30">
        <f t="shared" ref="C79:M79" si="37">$P$79/12</f>
        <v>15</v>
      </c>
      <c r="D79" s="30">
        <f t="shared" si="37"/>
        <v>15</v>
      </c>
      <c r="E79" s="30">
        <f t="shared" si="37"/>
        <v>15</v>
      </c>
      <c r="F79" s="30">
        <f t="shared" si="37"/>
        <v>15</v>
      </c>
      <c r="G79" s="30">
        <f t="shared" si="37"/>
        <v>15</v>
      </c>
      <c r="H79" s="30">
        <f t="shared" si="37"/>
        <v>15</v>
      </c>
      <c r="I79" s="30">
        <f t="shared" si="37"/>
        <v>15</v>
      </c>
      <c r="J79" s="30">
        <f t="shared" si="37"/>
        <v>15</v>
      </c>
      <c r="K79" s="30">
        <f t="shared" si="37"/>
        <v>15</v>
      </c>
      <c r="L79" s="30">
        <f t="shared" si="37"/>
        <v>15</v>
      </c>
      <c r="M79" s="30">
        <f t="shared" si="37"/>
        <v>15</v>
      </c>
      <c r="O79" s="5"/>
      <c r="P79" s="30">
        <v>180</v>
      </c>
    </row>
    <row r="80" spans="1:16" x14ac:dyDescent="0.25">
      <c r="A80" s="33" t="s">
        <v>49</v>
      </c>
      <c r="B80" s="30">
        <f>$P$80/12</f>
        <v>21.416666666666668</v>
      </c>
      <c r="C80" s="30">
        <f t="shared" ref="C80:M80" si="38">$P$80/12</f>
        <v>21.416666666666668</v>
      </c>
      <c r="D80" s="30">
        <f t="shared" si="38"/>
        <v>21.416666666666668</v>
      </c>
      <c r="E80" s="30">
        <f t="shared" si="38"/>
        <v>21.416666666666668</v>
      </c>
      <c r="F80" s="30">
        <f t="shared" si="38"/>
        <v>21.416666666666668</v>
      </c>
      <c r="G80" s="30">
        <f t="shared" si="38"/>
        <v>21.416666666666668</v>
      </c>
      <c r="H80" s="30">
        <f t="shared" si="38"/>
        <v>21.416666666666668</v>
      </c>
      <c r="I80" s="30">
        <f t="shared" si="38"/>
        <v>21.416666666666668</v>
      </c>
      <c r="J80" s="30">
        <f t="shared" si="38"/>
        <v>21.416666666666668</v>
      </c>
      <c r="K80" s="30">
        <f t="shared" si="38"/>
        <v>21.416666666666668</v>
      </c>
      <c r="L80" s="30">
        <f t="shared" si="38"/>
        <v>21.416666666666668</v>
      </c>
      <c r="M80" s="30">
        <f t="shared" si="38"/>
        <v>21.416666666666668</v>
      </c>
      <c r="O80" s="5"/>
      <c r="P80" s="30">
        <v>257</v>
      </c>
    </row>
    <row r="81" spans="1:34" x14ac:dyDescent="0.25">
      <c r="A81" s="33" t="s">
        <v>50</v>
      </c>
      <c r="B81" s="30">
        <f>$P$81/12</f>
        <v>2.5833333333333335</v>
      </c>
      <c r="C81" s="30">
        <f t="shared" ref="C81:M81" si="39">$P$81/12</f>
        <v>2.5833333333333335</v>
      </c>
      <c r="D81" s="30">
        <f t="shared" si="39"/>
        <v>2.5833333333333335</v>
      </c>
      <c r="E81" s="30">
        <f t="shared" si="39"/>
        <v>2.5833333333333335</v>
      </c>
      <c r="F81" s="30">
        <f t="shared" si="39"/>
        <v>2.5833333333333335</v>
      </c>
      <c r="G81" s="30">
        <f t="shared" si="39"/>
        <v>2.5833333333333335</v>
      </c>
      <c r="H81" s="30">
        <f t="shared" si="39"/>
        <v>2.5833333333333335</v>
      </c>
      <c r="I81" s="30">
        <f t="shared" si="39"/>
        <v>2.5833333333333335</v>
      </c>
      <c r="J81" s="30">
        <f t="shared" si="39"/>
        <v>2.5833333333333335</v>
      </c>
      <c r="K81" s="30">
        <f t="shared" si="39"/>
        <v>2.5833333333333335</v>
      </c>
      <c r="L81" s="30">
        <f t="shared" si="39"/>
        <v>2.5833333333333335</v>
      </c>
      <c r="M81" s="30">
        <f t="shared" si="39"/>
        <v>2.5833333333333335</v>
      </c>
      <c r="O81" s="5"/>
      <c r="P81" s="30">
        <v>31</v>
      </c>
    </row>
    <row r="82" spans="1:34" x14ac:dyDescent="0.25">
      <c r="A82" s="33" t="s">
        <v>51</v>
      </c>
      <c r="B82" s="30">
        <f>$P$82/12</f>
        <v>6.25</v>
      </c>
      <c r="C82" s="30">
        <f t="shared" ref="C82:M82" si="40">$P$82/12</f>
        <v>6.25</v>
      </c>
      <c r="D82" s="30">
        <f t="shared" si="40"/>
        <v>6.25</v>
      </c>
      <c r="E82" s="30">
        <f t="shared" si="40"/>
        <v>6.25</v>
      </c>
      <c r="F82" s="30">
        <f t="shared" si="40"/>
        <v>6.25</v>
      </c>
      <c r="G82" s="30">
        <f t="shared" si="40"/>
        <v>6.25</v>
      </c>
      <c r="H82" s="30">
        <f t="shared" si="40"/>
        <v>6.25</v>
      </c>
      <c r="I82" s="30">
        <f t="shared" si="40"/>
        <v>6.25</v>
      </c>
      <c r="J82" s="30">
        <f t="shared" si="40"/>
        <v>6.25</v>
      </c>
      <c r="K82" s="30">
        <f t="shared" si="40"/>
        <v>6.25</v>
      </c>
      <c r="L82" s="30">
        <f t="shared" si="40"/>
        <v>6.25</v>
      </c>
      <c r="M82" s="30">
        <f t="shared" si="40"/>
        <v>6.25</v>
      </c>
      <c r="O82" s="5"/>
      <c r="P82" s="30">
        <v>75</v>
      </c>
    </row>
    <row r="83" spans="1:34" x14ac:dyDescent="0.25">
      <c r="A83" s="33" t="s">
        <v>52</v>
      </c>
      <c r="B83" s="30">
        <f>$P$83/12</f>
        <v>24.166666666666668</v>
      </c>
      <c r="C83" s="30">
        <f t="shared" ref="C83:M83" si="41">$P$83/12</f>
        <v>24.166666666666668</v>
      </c>
      <c r="D83" s="30">
        <f t="shared" si="41"/>
        <v>24.166666666666668</v>
      </c>
      <c r="E83" s="30">
        <f t="shared" si="41"/>
        <v>24.166666666666668</v>
      </c>
      <c r="F83" s="30">
        <f t="shared" si="41"/>
        <v>24.166666666666668</v>
      </c>
      <c r="G83" s="30">
        <f t="shared" si="41"/>
        <v>24.166666666666668</v>
      </c>
      <c r="H83" s="30">
        <f t="shared" si="41"/>
        <v>24.166666666666668</v>
      </c>
      <c r="I83" s="30">
        <f t="shared" si="41"/>
        <v>24.166666666666668</v>
      </c>
      <c r="J83" s="30">
        <f t="shared" si="41"/>
        <v>24.166666666666668</v>
      </c>
      <c r="K83" s="30">
        <f t="shared" si="41"/>
        <v>24.166666666666668</v>
      </c>
      <c r="L83" s="30">
        <f t="shared" si="41"/>
        <v>24.166666666666668</v>
      </c>
      <c r="M83" s="30">
        <f t="shared" si="41"/>
        <v>24.166666666666668</v>
      </c>
      <c r="O83" s="5"/>
      <c r="P83" s="30">
        <v>290</v>
      </c>
    </row>
    <row r="84" spans="1:34" x14ac:dyDescent="0.25">
      <c r="A84" s="33" t="s">
        <v>53</v>
      </c>
      <c r="B84" s="30">
        <v>0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O84" s="5"/>
      <c r="P84" s="30">
        <v>0</v>
      </c>
    </row>
    <row r="85" spans="1:34" x14ac:dyDescent="0.25">
      <c r="A85" s="33" t="s">
        <v>54</v>
      </c>
      <c r="B85" s="6">
        <f>$P$85/12</f>
        <v>0.16666666666666666</v>
      </c>
      <c r="C85" s="6">
        <f t="shared" ref="C85:M85" si="42">$P$85/12</f>
        <v>0.16666666666666666</v>
      </c>
      <c r="D85" s="6">
        <f t="shared" si="42"/>
        <v>0.16666666666666666</v>
      </c>
      <c r="E85" s="6">
        <f t="shared" si="42"/>
        <v>0.16666666666666666</v>
      </c>
      <c r="F85" s="6">
        <f t="shared" si="42"/>
        <v>0.16666666666666666</v>
      </c>
      <c r="G85" s="6">
        <f t="shared" si="42"/>
        <v>0.16666666666666666</v>
      </c>
      <c r="H85" s="6">
        <f t="shared" si="42"/>
        <v>0.16666666666666666</v>
      </c>
      <c r="I85" s="6">
        <f t="shared" si="42"/>
        <v>0.16666666666666666</v>
      </c>
      <c r="J85" s="6">
        <f t="shared" si="42"/>
        <v>0.16666666666666666</v>
      </c>
      <c r="K85" s="6">
        <f t="shared" si="42"/>
        <v>0.16666666666666666</v>
      </c>
      <c r="L85" s="6">
        <f t="shared" si="42"/>
        <v>0.16666666666666666</v>
      </c>
      <c r="M85" s="6">
        <f t="shared" si="42"/>
        <v>0.16666666666666666</v>
      </c>
      <c r="O85" s="5"/>
      <c r="P85" s="30">
        <v>2</v>
      </c>
    </row>
    <row r="86" spans="1:34" x14ac:dyDescent="0.25">
      <c r="A86" s="33" t="s">
        <v>55</v>
      </c>
      <c r="B86" s="30">
        <f>$P$86/12</f>
        <v>13.083333333333334</v>
      </c>
      <c r="C86" s="30">
        <f t="shared" ref="C86:M86" si="43">$P$86/12</f>
        <v>13.083333333333334</v>
      </c>
      <c r="D86" s="30">
        <f t="shared" si="43"/>
        <v>13.083333333333334</v>
      </c>
      <c r="E86" s="30">
        <f t="shared" si="43"/>
        <v>13.083333333333334</v>
      </c>
      <c r="F86" s="30">
        <f t="shared" si="43"/>
        <v>13.083333333333334</v>
      </c>
      <c r="G86" s="30">
        <f t="shared" si="43"/>
        <v>13.083333333333334</v>
      </c>
      <c r="H86" s="30">
        <f t="shared" si="43"/>
        <v>13.083333333333334</v>
      </c>
      <c r="I86" s="30">
        <f t="shared" si="43"/>
        <v>13.083333333333334</v>
      </c>
      <c r="J86" s="30">
        <f t="shared" si="43"/>
        <v>13.083333333333334</v>
      </c>
      <c r="K86" s="30">
        <f t="shared" si="43"/>
        <v>13.083333333333334</v>
      </c>
      <c r="L86" s="30">
        <f t="shared" si="43"/>
        <v>13.083333333333334</v>
      </c>
      <c r="M86" s="30">
        <f t="shared" si="43"/>
        <v>13.083333333333334</v>
      </c>
      <c r="O86" s="5"/>
      <c r="P86" s="30">
        <v>157</v>
      </c>
    </row>
    <row r="87" spans="1:34" x14ac:dyDescent="0.25">
      <c r="A87" s="33" t="s">
        <v>56</v>
      </c>
      <c r="B87" s="30">
        <f>$P$87/12</f>
        <v>3.5</v>
      </c>
      <c r="C87" s="30">
        <f t="shared" ref="C87:M87" si="44">$P$87/12</f>
        <v>3.5</v>
      </c>
      <c r="D87" s="30">
        <f t="shared" si="44"/>
        <v>3.5</v>
      </c>
      <c r="E87" s="30">
        <f t="shared" si="44"/>
        <v>3.5</v>
      </c>
      <c r="F87" s="30">
        <f t="shared" si="44"/>
        <v>3.5</v>
      </c>
      <c r="G87" s="30">
        <f t="shared" si="44"/>
        <v>3.5</v>
      </c>
      <c r="H87" s="30">
        <f t="shared" si="44"/>
        <v>3.5</v>
      </c>
      <c r="I87" s="30">
        <f t="shared" si="44"/>
        <v>3.5</v>
      </c>
      <c r="J87" s="30">
        <f t="shared" si="44"/>
        <v>3.5</v>
      </c>
      <c r="K87" s="30">
        <f t="shared" si="44"/>
        <v>3.5</v>
      </c>
      <c r="L87" s="30">
        <f t="shared" si="44"/>
        <v>3.5</v>
      </c>
      <c r="M87" s="30">
        <f t="shared" si="44"/>
        <v>3.5</v>
      </c>
      <c r="O87" s="5"/>
      <c r="P87" s="30">
        <v>42</v>
      </c>
    </row>
    <row r="88" spans="1:34" x14ac:dyDescent="0.25">
      <c r="A88" s="33" t="s">
        <v>57</v>
      </c>
      <c r="B88" s="30">
        <v>0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O88" s="5"/>
      <c r="P88" s="30">
        <v>0</v>
      </c>
    </row>
    <row r="89" spans="1:34" x14ac:dyDescent="0.25">
      <c r="A89" s="33" t="s">
        <v>58</v>
      </c>
      <c r="B89" s="30">
        <f>$P$89/12</f>
        <v>27.583333333333332</v>
      </c>
      <c r="C89" s="30">
        <f t="shared" ref="C89:M89" si="45">$P$89/12</f>
        <v>27.583333333333332</v>
      </c>
      <c r="D89" s="30">
        <f t="shared" si="45"/>
        <v>27.583333333333332</v>
      </c>
      <c r="E89" s="30">
        <f t="shared" si="45"/>
        <v>27.583333333333332</v>
      </c>
      <c r="F89" s="30">
        <f t="shared" si="45"/>
        <v>27.583333333333332</v>
      </c>
      <c r="G89" s="30">
        <f t="shared" si="45"/>
        <v>27.583333333333332</v>
      </c>
      <c r="H89" s="30">
        <f t="shared" si="45"/>
        <v>27.583333333333332</v>
      </c>
      <c r="I89" s="30">
        <f t="shared" si="45"/>
        <v>27.583333333333332</v>
      </c>
      <c r="J89" s="30">
        <f t="shared" si="45"/>
        <v>27.583333333333332</v>
      </c>
      <c r="K89" s="30">
        <f t="shared" si="45"/>
        <v>27.583333333333332</v>
      </c>
      <c r="L89" s="30">
        <f t="shared" si="45"/>
        <v>27.583333333333332</v>
      </c>
      <c r="M89" s="30">
        <f t="shared" si="45"/>
        <v>27.583333333333332</v>
      </c>
      <c r="O89" s="5"/>
      <c r="P89" s="30">
        <v>331</v>
      </c>
    </row>
    <row r="90" spans="1:34" x14ac:dyDescent="0.25">
      <c r="A90" s="33" t="s">
        <v>59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O90" s="5"/>
      <c r="P90" s="30">
        <v>0</v>
      </c>
    </row>
    <row r="91" spans="1:34" ht="18" x14ac:dyDescent="0.25">
      <c r="A91" s="33" t="s">
        <v>60</v>
      </c>
      <c r="B91" s="30">
        <f>$P$91/12</f>
        <v>66.666666666666671</v>
      </c>
      <c r="C91" s="30">
        <f t="shared" ref="C91:M91" si="46">$P$91/12</f>
        <v>66.666666666666671</v>
      </c>
      <c r="D91" s="30">
        <f t="shared" si="46"/>
        <v>66.666666666666671</v>
      </c>
      <c r="E91" s="30">
        <f t="shared" si="46"/>
        <v>66.666666666666671</v>
      </c>
      <c r="F91" s="30">
        <f t="shared" si="46"/>
        <v>66.666666666666671</v>
      </c>
      <c r="G91" s="30">
        <f t="shared" si="46"/>
        <v>66.666666666666671</v>
      </c>
      <c r="H91" s="30">
        <f t="shared" si="46"/>
        <v>66.666666666666671</v>
      </c>
      <c r="I91" s="30">
        <f t="shared" si="46"/>
        <v>66.666666666666671</v>
      </c>
      <c r="J91" s="30">
        <f t="shared" si="46"/>
        <v>66.666666666666671</v>
      </c>
      <c r="K91" s="30">
        <f t="shared" si="46"/>
        <v>66.666666666666671</v>
      </c>
      <c r="L91" s="30">
        <f t="shared" si="46"/>
        <v>66.666666666666671</v>
      </c>
      <c r="M91" s="30">
        <f t="shared" si="46"/>
        <v>66.666666666666671</v>
      </c>
      <c r="P91" s="30">
        <v>800</v>
      </c>
      <c r="Q91" s="10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H91" s="16"/>
    </row>
    <row r="92" spans="1:34" ht="18" customHeight="1" x14ac:dyDescent="0.25">
      <c r="A92" s="33" t="s">
        <v>395</v>
      </c>
      <c r="B92" s="30">
        <f>$P$92/12</f>
        <v>721.58333333333337</v>
      </c>
      <c r="C92" s="30">
        <f t="shared" ref="C92:M92" si="47">$P$92/12</f>
        <v>721.58333333333337</v>
      </c>
      <c r="D92" s="30">
        <f t="shared" si="47"/>
        <v>721.58333333333337</v>
      </c>
      <c r="E92" s="30">
        <f t="shared" si="47"/>
        <v>721.58333333333337</v>
      </c>
      <c r="F92" s="30">
        <f t="shared" si="47"/>
        <v>721.58333333333337</v>
      </c>
      <c r="G92" s="30">
        <f t="shared" si="47"/>
        <v>721.58333333333337</v>
      </c>
      <c r="H92" s="30">
        <f t="shared" si="47"/>
        <v>721.58333333333337</v>
      </c>
      <c r="I92" s="30">
        <f t="shared" si="47"/>
        <v>721.58333333333337</v>
      </c>
      <c r="J92" s="30">
        <f t="shared" si="47"/>
        <v>721.58333333333337</v>
      </c>
      <c r="K92" s="30">
        <f t="shared" si="47"/>
        <v>721.58333333333337</v>
      </c>
      <c r="L92" s="30">
        <f t="shared" si="47"/>
        <v>721.58333333333337</v>
      </c>
      <c r="M92" s="30">
        <f t="shared" si="47"/>
        <v>721.58333333333337</v>
      </c>
      <c r="P92" s="30">
        <v>8659</v>
      </c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H92" s="17"/>
    </row>
    <row r="93" spans="1:34" x14ac:dyDescent="0.25">
      <c r="A93" s="33" t="s">
        <v>61</v>
      </c>
      <c r="B93" s="30">
        <f>$P$93/12</f>
        <v>127.66666666666667</v>
      </c>
      <c r="C93" s="30">
        <f t="shared" ref="C93:M93" si="48">$P$93/12</f>
        <v>127.66666666666667</v>
      </c>
      <c r="D93" s="30">
        <f t="shared" si="48"/>
        <v>127.66666666666667</v>
      </c>
      <c r="E93" s="30">
        <f t="shared" si="48"/>
        <v>127.66666666666667</v>
      </c>
      <c r="F93" s="30">
        <f t="shared" si="48"/>
        <v>127.66666666666667</v>
      </c>
      <c r="G93" s="30">
        <f t="shared" si="48"/>
        <v>127.66666666666667</v>
      </c>
      <c r="H93" s="30">
        <f t="shared" si="48"/>
        <v>127.66666666666667</v>
      </c>
      <c r="I93" s="30">
        <f t="shared" si="48"/>
        <v>127.66666666666667</v>
      </c>
      <c r="J93" s="30">
        <f t="shared" si="48"/>
        <v>127.66666666666667</v>
      </c>
      <c r="K93" s="30">
        <f t="shared" si="48"/>
        <v>127.66666666666667</v>
      </c>
      <c r="L93" s="30">
        <f t="shared" si="48"/>
        <v>127.66666666666667</v>
      </c>
      <c r="M93" s="30">
        <f t="shared" si="48"/>
        <v>127.66666666666667</v>
      </c>
      <c r="P93" s="30">
        <v>1532</v>
      </c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H93" s="18"/>
    </row>
    <row r="94" spans="1:34" x14ac:dyDescent="0.25">
      <c r="A94" s="33" t="s">
        <v>62</v>
      </c>
      <c r="B94" s="30">
        <f>$P$94/12</f>
        <v>147.41666666666666</v>
      </c>
      <c r="C94" s="30">
        <f t="shared" ref="C94:M94" si="49">$P$94/12</f>
        <v>147.41666666666666</v>
      </c>
      <c r="D94" s="30">
        <f t="shared" si="49"/>
        <v>147.41666666666666</v>
      </c>
      <c r="E94" s="30">
        <f t="shared" si="49"/>
        <v>147.41666666666666</v>
      </c>
      <c r="F94" s="30">
        <f t="shared" si="49"/>
        <v>147.41666666666666</v>
      </c>
      <c r="G94" s="30">
        <f t="shared" si="49"/>
        <v>147.41666666666666</v>
      </c>
      <c r="H94" s="30">
        <f t="shared" si="49"/>
        <v>147.41666666666666</v>
      </c>
      <c r="I94" s="30">
        <f t="shared" si="49"/>
        <v>147.41666666666666</v>
      </c>
      <c r="J94" s="30">
        <f t="shared" si="49"/>
        <v>147.41666666666666</v>
      </c>
      <c r="K94" s="30">
        <f t="shared" si="49"/>
        <v>147.41666666666666</v>
      </c>
      <c r="L94" s="30">
        <f t="shared" si="49"/>
        <v>147.41666666666666</v>
      </c>
      <c r="M94" s="30">
        <f t="shared" si="49"/>
        <v>147.41666666666666</v>
      </c>
      <c r="P94" s="30">
        <v>1769</v>
      </c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H94" s="18"/>
    </row>
    <row r="95" spans="1:34" x14ac:dyDescent="0.25">
      <c r="A95" s="33" t="s">
        <v>63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P95" s="30">
        <v>0</v>
      </c>
      <c r="AH95" s="19"/>
    </row>
    <row r="96" spans="1:34" x14ac:dyDescent="0.25">
      <c r="A96" s="40"/>
      <c r="B96" s="30"/>
      <c r="C96" s="30"/>
      <c r="D96" s="30"/>
      <c r="E96" s="30"/>
      <c r="F96" s="30"/>
      <c r="G96" s="30"/>
      <c r="H96" s="30"/>
      <c r="I96" s="30"/>
      <c r="J96" s="30"/>
      <c r="K96" s="30"/>
      <c r="P96" s="30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H96" s="19"/>
    </row>
    <row r="97" spans="1:34" x14ac:dyDescent="0.25">
      <c r="A97" s="29" t="s">
        <v>396</v>
      </c>
      <c r="B97" s="75">
        <f>SUM(B66:B95,B58)</f>
        <v>15188.833333333334</v>
      </c>
      <c r="C97" s="75">
        <f t="shared" ref="C97:M97" si="50">SUM(C66:C95,C58)</f>
        <v>15188.833333333334</v>
      </c>
      <c r="D97" s="75">
        <f t="shared" si="50"/>
        <v>15188.833333333334</v>
      </c>
      <c r="E97" s="75">
        <f t="shared" si="50"/>
        <v>10765.833333333334</v>
      </c>
      <c r="F97" s="75">
        <f t="shared" si="50"/>
        <v>10765.833333333334</v>
      </c>
      <c r="G97" s="75">
        <f t="shared" si="50"/>
        <v>10765.833333333334</v>
      </c>
      <c r="H97" s="75">
        <f t="shared" si="50"/>
        <v>10765.833333333334</v>
      </c>
      <c r="I97" s="75">
        <f t="shared" si="50"/>
        <v>10765.833333333334</v>
      </c>
      <c r="J97" s="75">
        <f t="shared" si="50"/>
        <v>10765.833333333334</v>
      </c>
      <c r="K97" s="75">
        <f t="shared" si="50"/>
        <v>10765.833333333334</v>
      </c>
      <c r="L97" s="75">
        <f t="shared" si="50"/>
        <v>10765.833333333334</v>
      </c>
      <c r="M97" s="75">
        <f t="shared" si="50"/>
        <v>10772.833333333334</v>
      </c>
      <c r="P97" s="50">
        <f>SUM(P66:P95,P63,P58,P61)</f>
        <v>142466</v>
      </c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H97" s="18"/>
    </row>
    <row r="98" spans="1:34" ht="15.75" thickBot="1" x14ac:dyDescent="0.3">
      <c r="A98" s="29" t="s">
        <v>397</v>
      </c>
      <c r="B98" s="77">
        <f t="shared" ref="B98:M98" si="51">SUM(B31-B97)</f>
        <v>-3009.7238266666645</v>
      </c>
      <c r="C98" s="77">
        <f t="shared" si="51"/>
        <v>1535.0184266666674</v>
      </c>
      <c r="D98" s="77">
        <f t="shared" si="51"/>
        <v>6079.7606800000049</v>
      </c>
      <c r="E98" s="77">
        <f t="shared" si="51"/>
        <v>15047.502933333339</v>
      </c>
      <c r="F98" s="77">
        <f t="shared" si="51"/>
        <v>26409.35856666667</v>
      </c>
      <c r="G98" s="77">
        <f t="shared" si="51"/>
        <v>43224.904904000003</v>
      </c>
      <c r="H98" s="77">
        <f t="shared" si="51"/>
        <v>43224.904904000003</v>
      </c>
      <c r="I98" s="77">
        <f t="shared" si="51"/>
        <v>43224.904904000003</v>
      </c>
      <c r="J98" s="77">
        <f t="shared" si="51"/>
        <v>43224.904904000003</v>
      </c>
      <c r="K98" s="77">
        <f t="shared" si="51"/>
        <v>43224.904904000003</v>
      </c>
      <c r="L98" s="77">
        <f t="shared" si="51"/>
        <v>43224.904904000003</v>
      </c>
      <c r="M98" s="77">
        <f t="shared" si="51"/>
        <v>43672.379129333349</v>
      </c>
      <c r="P98" s="53">
        <f>SUM(P35-P97)</f>
        <v>-142465.70000000001</v>
      </c>
      <c r="AH98" s="20"/>
    </row>
    <row r="99" spans="1:34" ht="15.75" thickTop="1" x14ac:dyDescent="0.25">
      <c r="A99" s="29" t="s">
        <v>398</v>
      </c>
      <c r="B99" s="78">
        <f t="shared" ref="B99:M99" si="52">B98+B15</f>
        <v>-3009.7238266666645</v>
      </c>
      <c r="C99" s="78">
        <f t="shared" si="52"/>
        <v>-1474.7053999999971</v>
      </c>
      <c r="D99" s="78">
        <f t="shared" si="52"/>
        <v>4605.0552800000078</v>
      </c>
      <c r="E99" s="78">
        <f t="shared" si="52"/>
        <v>19652.558213333345</v>
      </c>
      <c r="F99" s="78">
        <f t="shared" si="52"/>
        <v>46061.916780000014</v>
      </c>
      <c r="G99" s="78">
        <f t="shared" si="52"/>
        <v>89286.821684000024</v>
      </c>
      <c r="H99" s="78">
        <f t="shared" si="52"/>
        <v>132511.72658800002</v>
      </c>
      <c r="I99" s="78">
        <f t="shared" si="52"/>
        <v>175736.63149200001</v>
      </c>
      <c r="J99" s="78">
        <f t="shared" si="52"/>
        <v>218961.53639600001</v>
      </c>
      <c r="K99" s="78">
        <f t="shared" si="52"/>
        <v>262186.44130000001</v>
      </c>
      <c r="L99" s="78">
        <f t="shared" si="52"/>
        <v>305411.346204</v>
      </c>
      <c r="M99" s="78">
        <f t="shared" si="52"/>
        <v>349083.72533333336</v>
      </c>
      <c r="P99" s="42"/>
      <c r="AH99" s="21"/>
    </row>
    <row r="100" spans="1:34" x14ac:dyDescent="0.25">
      <c r="A100" s="4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P100" s="43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H100" s="21"/>
    </row>
    <row r="101" spans="1:34" x14ac:dyDescent="0.25">
      <c r="AH101" s="22"/>
    </row>
    <row r="102" spans="1:34" ht="18.75" x14ac:dyDescent="0.25">
      <c r="A102" s="45" t="s">
        <v>353</v>
      </c>
      <c r="P102" s="3"/>
    </row>
    <row r="103" spans="1:34" x14ac:dyDescent="0.25">
      <c r="A103">
        <v>1</v>
      </c>
      <c r="B103" t="s">
        <v>399</v>
      </c>
    </row>
    <row r="104" spans="1:34" x14ac:dyDescent="0.25">
      <c r="A104">
        <v>2</v>
      </c>
      <c r="B104" t="s">
        <v>400</v>
      </c>
    </row>
    <row r="105" spans="1:34" x14ac:dyDescent="0.25">
      <c r="A105">
        <v>3</v>
      </c>
      <c r="B105" t="s">
        <v>401</v>
      </c>
    </row>
    <row r="108" spans="1:34" ht="18.75" x14ac:dyDescent="0.3">
      <c r="A108" s="59" t="s">
        <v>402</v>
      </c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</row>
    <row r="109" spans="1:34" x14ac:dyDescent="0.25">
      <c r="B109" s="32" t="s">
        <v>365</v>
      </c>
      <c r="C109" s="32" t="s">
        <v>366</v>
      </c>
      <c r="D109" s="32" t="s">
        <v>367</v>
      </c>
      <c r="E109" s="32" t="s">
        <v>368</v>
      </c>
      <c r="F109" s="32" t="s">
        <v>369</v>
      </c>
      <c r="G109" s="32" t="s">
        <v>370</v>
      </c>
      <c r="H109" s="32" t="s">
        <v>371</v>
      </c>
      <c r="I109" s="32" t="s">
        <v>372</v>
      </c>
      <c r="J109" s="32" t="s">
        <v>373</v>
      </c>
      <c r="K109" s="32" t="s">
        <v>374</v>
      </c>
      <c r="L109" s="32" t="s">
        <v>375</v>
      </c>
      <c r="M109" s="32" t="s">
        <v>376</v>
      </c>
    </row>
    <row r="110" spans="1:34" x14ac:dyDescent="0.25">
      <c r="A110" s="29" t="s">
        <v>403</v>
      </c>
      <c r="B110" s="79">
        <f>B15</f>
        <v>0</v>
      </c>
      <c r="C110" s="79">
        <f t="shared" ref="C110:M110" si="53">C15</f>
        <v>-3009.7238266666645</v>
      </c>
      <c r="D110" s="79">
        <f t="shared" si="53"/>
        <v>-1474.7053999999971</v>
      </c>
      <c r="E110" s="79">
        <f t="shared" si="53"/>
        <v>4605.0552800000078</v>
      </c>
      <c r="F110" s="79">
        <f t="shared" si="53"/>
        <v>19652.558213333345</v>
      </c>
      <c r="G110" s="79">
        <f t="shared" si="53"/>
        <v>46061.916780000014</v>
      </c>
      <c r="H110" s="79">
        <f t="shared" si="53"/>
        <v>89286.821684000024</v>
      </c>
      <c r="I110" s="79">
        <f t="shared" si="53"/>
        <v>132511.72658800002</v>
      </c>
      <c r="J110" s="79">
        <f t="shared" si="53"/>
        <v>175736.63149200001</v>
      </c>
      <c r="K110" s="79">
        <f t="shared" si="53"/>
        <v>218961.53639600001</v>
      </c>
      <c r="L110" s="79">
        <f t="shared" si="53"/>
        <v>262186.44130000001</v>
      </c>
      <c r="M110" s="79">
        <f t="shared" si="53"/>
        <v>305411.346204</v>
      </c>
    </row>
    <row r="111" spans="1:34" x14ac:dyDescent="0.25">
      <c r="A111" s="29" t="s">
        <v>388</v>
      </c>
      <c r="B111" s="65">
        <f>B37</f>
        <v>12179.109506666669</v>
      </c>
      <c r="C111" s="65">
        <f t="shared" ref="C111:M111" si="54">C37</f>
        <v>16723.851760000001</v>
      </c>
      <c r="D111" s="65">
        <f t="shared" si="54"/>
        <v>21268.594013333339</v>
      </c>
      <c r="E111" s="65">
        <f t="shared" si="54"/>
        <v>25813.336266666673</v>
      </c>
      <c r="F111" s="65">
        <f t="shared" si="54"/>
        <v>37175.191900000005</v>
      </c>
      <c r="G111" s="65">
        <f t="shared" si="54"/>
        <v>53990.738237333338</v>
      </c>
      <c r="H111" s="65">
        <f t="shared" si="54"/>
        <v>53990.738237333338</v>
      </c>
      <c r="I111" s="65">
        <f t="shared" si="54"/>
        <v>53990.738237333338</v>
      </c>
      <c r="J111" s="65">
        <f t="shared" si="54"/>
        <v>53990.738237333338</v>
      </c>
      <c r="K111" s="65">
        <f t="shared" si="54"/>
        <v>53990.738237333338</v>
      </c>
      <c r="L111" s="65">
        <f t="shared" si="54"/>
        <v>53990.738237333338</v>
      </c>
      <c r="M111" s="65">
        <f t="shared" si="54"/>
        <v>54445.212462666685</v>
      </c>
    </row>
    <row r="112" spans="1:34" x14ac:dyDescent="0.25">
      <c r="A112" s="29" t="s">
        <v>396</v>
      </c>
      <c r="B112" s="65">
        <f>B97</f>
        <v>15188.833333333334</v>
      </c>
      <c r="C112" s="65">
        <f t="shared" ref="C112:M114" si="55">C97</f>
        <v>15188.833333333334</v>
      </c>
      <c r="D112" s="65">
        <f t="shared" si="55"/>
        <v>15188.833333333334</v>
      </c>
      <c r="E112" s="65">
        <f t="shared" si="55"/>
        <v>10765.833333333334</v>
      </c>
      <c r="F112" s="65">
        <f t="shared" si="55"/>
        <v>10765.833333333334</v>
      </c>
      <c r="G112" s="65">
        <f t="shared" si="55"/>
        <v>10765.833333333334</v>
      </c>
      <c r="H112" s="65">
        <f t="shared" si="55"/>
        <v>10765.833333333334</v>
      </c>
      <c r="I112" s="65">
        <f t="shared" si="55"/>
        <v>10765.833333333334</v>
      </c>
      <c r="J112" s="65">
        <f t="shared" si="55"/>
        <v>10765.833333333334</v>
      </c>
      <c r="K112" s="65">
        <f t="shared" si="55"/>
        <v>10765.833333333334</v>
      </c>
      <c r="L112" s="65">
        <f t="shared" si="55"/>
        <v>10765.833333333334</v>
      </c>
      <c r="M112" s="65">
        <f t="shared" si="55"/>
        <v>10772.833333333334</v>
      </c>
    </row>
    <row r="113" spans="1:13" x14ac:dyDescent="0.25">
      <c r="A113" s="29" t="s">
        <v>397</v>
      </c>
      <c r="B113" s="80">
        <f>B98</f>
        <v>-3009.7238266666645</v>
      </c>
      <c r="C113" s="80">
        <f t="shared" si="55"/>
        <v>1535.0184266666674</v>
      </c>
      <c r="D113" s="80">
        <f t="shared" si="55"/>
        <v>6079.7606800000049</v>
      </c>
      <c r="E113" s="80">
        <f t="shared" si="55"/>
        <v>15047.502933333339</v>
      </c>
      <c r="F113" s="80">
        <f t="shared" si="55"/>
        <v>26409.35856666667</v>
      </c>
      <c r="G113" s="80">
        <f t="shared" si="55"/>
        <v>43224.904904000003</v>
      </c>
      <c r="H113" s="80">
        <f t="shared" si="55"/>
        <v>43224.904904000003</v>
      </c>
      <c r="I113" s="80">
        <f t="shared" si="55"/>
        <v>43224.904904000003</v>
      </c>
      <c r="J113" s="80">
        <f t="shared" si="55"/>
        <v>43224.904904000003</v>
      </c>
      <c r="K113" s="80">
        <f t="shared" si="55"/>
        <v>43224.904904000003</v>
      </c>
      <c r="L113" s="80">
        <f t="shared" si="55"/>
        <v>43224.904904000003</v>
      </c>
      <c r="M113" s="80">
        <f t="shared" si="55"/>
        <v>43672.379129333349</v>
      </c>
    </row>
    <row r="114" spans="1:13" ht="15.75" thickBot="1" x14ac:dyDescent="0.3">
      <c r="A114" s="29" t="s">
        <v>398</v>
      </c>
      <c r="B114" s="81">
        <f>B99</f>
        <v>-3009.7238266666645</v>
      </c>
      <c r="C114" s="81">
        <f t="shared" si="55"/>
        <v>-1474.7053999999971</v>
      </c>
      <c r="D114" s="81">
        <f t="shared" si="55"/>
        <v>4605.0552800000078</v>
      </c>
      <c r="E114" s="81">
        <f t="shared" si="55"/>
        <v>19652.558213333345</v>
      </c>
      <c r="F114" s="81">
        <f t="shared" si="55"/>
        <v>46061.916780000014</v>
      </c>
      <c r="G114" s="81">
        <f t="shared" si="55"/>
        <v>89286.821684000024</v>
      </c>
      <c r="H114" s="81">
        <f t="shared" si="55"/>
        <v>132511.72658800002</v>
      </c>
      <c r="I114" s="81">
        <f t="shared" si="55"/>
        <v>175736.63149200001</v>
      </c>
      <c r="J114" s="81">
        <f t="shared" si="55"/>
        <v>218961.53639600001</v>
      </c>
      <c r="K114" s="81">
        <f t="shared" si="55"/>
        <v>262186.44130000001</v>
      </c>
      <c r="L114" s="81">
        <f t="shared" si="55"/>
        <v>305411.346204</v>
      </c>
      <c r="M114" s="81">
        <f t="shared" si="55"/>
        <v>349083.72533333336</v>
      </c>
    </row>
    <row r="115" spans="1:13" ht="15.75" thickTop="1" x14ac:dyDescent="0.25"/>
  </sheetData>
  <mergeCells count="3">
    <mergeCell ref="A1:I1"/>
    <mergeCell ref="A3:M3"/>
    <mergeCell ref="A108:M10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Proforma</vt:lpstr>
      <vt:lpstr>CF1-$100k BB</vt:lpstr>
      <vt:lpstr>CF1-$30k BB</vt:lpstr>
      <vt:lpstr>CF1-$0k BB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Stiles</dc:creator>
  <cp:lastModifiedBy>Jeff Stiles</cp:lastModifiedBy>
  <dcterms:created xsi:type="dcterms:W3CDTF">2025-03-26T20:33:14Z</dcterms:created>
  <dcterms:modified xsi:type="dcterms:W3CDTF">2025-03-28T19:37:53Z</dcterms:modified>
</cp:coreProperties>
</file>